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updateLinks="never" codeName="ThisWorkbook" autoCompressPictures="0"/>
  <mc:AlternateContent xmlns:mc="http://schemas.openxmlformats.org/markup-compatibility/2006">
    <mc:Choice Requires="x15">
      <x15ac:absPath xmlns:x15ac="http://schemas.microsoft.com/office/spreadsheetml/2010/11/ac" url="https://recycquebecgouvqcca.sharepoint.com/sites/COMMUNICATION/Documents partages/General/Émilie Girard/Site web/Modifications/2023/01 jan/PGMR/"/>
    </mc:Choice>
  </mc:AlternateContent>
  <xr:revisionPtr revIDLastSave="0" documentId="8_{28E1E1E4-9851-489F-AF60-BB060FFA1498}" xr6:coauthVersionLast="47" xr6:coauthVersionMax="47" xr10:uidLastSave="{00000000-0000-0000-0000-000000000000}"/>
  <workbookProtection workbookAlgorithmName="SHA-512" workbookHashValue="bIhj3fF87ukOVssyU1yMzI7mPkS75R/jJ0v81Kb/LLM9E2cKiRxzpd8iErFi13QWd4J7BevsSIj7/Tpw9VGoKg==" workbookSaltValue="UZRP4LQIovRpLAyazwjpiw==" workbookSpinCount="100000" lockStructure="1"/>
  <bookViews>
    <workbookView xWindow="-120" yWindow="-120" windowWidth="29040" windowHeight="15840" tabRatio="780" xr2:uid="{00000000-000D-0000-FFFF-FFFF00000000}"/>
  </bookViews>
  <sheets>
    <sheet name="Données générales" sheetId="1" r:id="rId1"/>
    <sheet name="Données - Résidentiel" sheetId="19" r:id="rId2"/>
    <sheet name="Résultats - Résidentiel" sheetId="18" r:id="rId3"/>
    <sheet name="Données - ICI" sheetId="17" r:id="rId4"/>
    <sheet name="Résultats - ICI" sheetId="16" r:id="rId5"/>
    <sheet name="Données - CRD" sheetId="13" r:id="rId6"/>
    <sheet name="Résultats CRD" sheetId="12" r:id="rId7"/>
    <sheet name="Résultats globaux" sheetId="20" r:id="rId8"/>
    <sheet name="Sources" sheetId="14" r:id="rId9"/>
    <sheet name="Paramètres" sheetId="5" state="hidden" r:id="rId10"/>
    <sheet name="Programmation" sheetId="10" state="hidden" r:id="rId11"/>
    <sheet name="Feuil1" sheetId="21" state="hidden" r:id="rId12"/>
    <sheet name="Feuil2" sheetId="22" state="hidden" r:id="rId13"/>
  </sheets>
  <externalReferences>
    <externalReference r:id="rId14"/>
  </externalReferences>
  <definedNames>
    <definedName name="_Toc227046729" localSheetId="9">Paramètres!$D$128</definedName>
    <definedName name="_Toc227046736" localSheetId="9">Paramètres!$D$147</definedName>
    <definedName name="annees">Programmation!$D$13:$D$27</definedName>
    <definedName name="crd_emondage">'Données - CRD'!#REF!</definedName>
    <definedName name="crd_emondage_E_destination">'Données - CRD'!#REF!</definedName>
    <definedName name="crd_emondage_E_tonne">'Données - CRD'!#REF!</definedName>
    <definedName name="crd_emondage_R_destination">'Données - CRD'!#REF!</definedName>
    <definedName name="crd_emondage_R_tonne">'Données - CRD'!#REF!</definedName>
    <definedName name="crd_parasites">'Données - Résidentiel'!$AM$78</definedName>
    <definedName name="crd_permis">'Données - CRD'!$U$5</definedName>
    <definedName name="crd_tonne_E_agregats">'Données - CRD'!$CI$17</definedName>
    <definedName name="crd_tonne_E_industrielle">'Données - CRD'!#REF!</definedName>
    <definedName name="crd_tonne_E_NA_autres">'Données - CRD'!$CI$22</definedName>
    <definedName name="crd_tonne_E_NA_bardeau">'Données - CRD'!$CI$21</definedName>
    <definedName name="crd_tonne_E_NA_bois">'Données - CRD'!$CI$19</definedName>
    <definedName name="crd_tonne_E_NA_gypse">'Données - CRD'!$CI$20</definedName>
    <definedName name="crd_tonne_E_rejets">'Données - CRD'!$CI$23</definedName>
    <definedName name="crd_tonne_E_usagesLET">'Données - CRD'!$CN$25</definedName>
    <definedName name="crd_tonne_E_usagesLET_A">'Données - CRD'!$CN$17</definedName>
    <definedName name="crd_tonne_E_usagesLET_Autres">'Données - CRD'!$CN$22</definedName>
    <definedName name="crd_tonne_E_usagesLET_B">'Données - CRD'!$CN$21</definedName>
    <definedName name="crd_tonne_E_usagesLET_Bois">'Données - CRD'!$CN$19</definedName>
    <definedName name="crd_tonne_E_usagesLET_G">'Données - CRD'!$CN$20</definedName>
    <definedName name="crd_tonne_E_usagesLET_NA">'Données - CRD'!$CN$18</definedName>
    <definedName name="crd_tonne_E_usagesLET_rejets">'Données - CRD'!$CN$23</definedName>
    <definedName name="crd_tonne_R_agregats">'Données - CRD'!$CD$17</definedName>
    <definedName name="crd_tonne_R_industrielle">'Données - CRD'!#REF!</definedName>
    <definedName name="crd_tonne_R_NA_autres">'Données - CRD'!$CD$22</definedName>
    <definedName name="crd_tonne_R_NA_bardeau">'Données - CRD'!$CD$21</definedName>
    <definedName name="crd_tonne_R_NA_bois">'Données - CRD'!$CD$19</definedName>
    <definedName name="crd_tonne_R_NA_gypse">'Données - CRD'!$CD$20</definedName>
    <definedName name="crd_tonne_R_rejets">'Données - CRD'!$CD$23</definedName>
    <definedName name="crd_usine">'Données - CRD'!#REF!</definedName>
    <definedName name="crd_utiliser_donnees">'Données - CRD'!$S$11</definedName>
    <definedName name="crd_utiliser_transf_ind">'Données - CRD'!#REF!</definedName>
    <definedName name="deroulant_activation_G">Programmation!$P$7:$P$9</definedName>
    <definedName name="deroulant_activation_I">Programmation!$M$7:$M$8</definedName>
    <definedName name="deroulant_collecte_MO">Programmation!$G$7:$G$9</definedName>
    <definedName name="deroulant_destination_boues">Programmation!$I$7:$I$8</definedName>
    <definedName name="deroulant_jnsp">Programmation!$C$7:$C$9</definedName>
    <definedName name="deroulant_oui_non">Programmation!$A$7:$A$8</definedName>
    <definedName name="deroulant_outil_utilisateur">Programmation!$E$7:$E$8</definedName>
    <definedName name="donnees_calculs">Programmation!$F$32</definedName>
    <definedName name="donnees_infos">Programmation!$F$33</definedName>
    <definedName name="erreur_a_la">Programmation!$F$41</definedName>
    <definedName name="erreur_aux">Programmation!$F$42</definedName>
    <definedName name="erreur1">Programmation!$F$39</definedName>
    <definedName name="erreur2">Programmation!$F$40</definedName>
    <definedName name="gen_annee">'Données générales'!$Q$4</definedName>
    <definedName name="gen_competente">'Données générales'!$AN$10</definedName>
    <definedName name="gen_MRC">'Données générales'!$AO$6</definedName>
    <definedName name="gen_pop_MRC">'Données générales'!$AO$8</definedName>
    <definedName name="gen_pop_RA">'Données générales'!$Q$8</definedName>
    <definedName name="gen_RA">'Données générales'!$Q$6</definedName>
    <definedName name="gen_ressource">'Données générales'!$Q$10</definedName>
    <definedName name="ici_donnees_agroalimentaire" localSheetId="3">'Données - ICI'!$AC$129</definedName>
    <definedName name="ici_donnees_agroalimentaire">'Données - ICI'!$AC$129</definedName>
    <definedName name="ici_donnees_autres" localSheetId="3">'Données - ICI'!$AC$171</definedName>
    <definedName name="ici_donnees_autres">'Données - ICI'!$AC$171</definedName>
    <definedName name="ICI_emp_MRC">'Données - ICI'!$CV$7</definedName>
    <definedName name="ICI_emp_MRC_choix">'Données - ICI'!$CV$7</definedName>
    <definedName name="ICI_emp_RA" localSheetId="3">'Données - ICI'!$Y$10</definedName>
    <definedName name="ICI_emp_RA">'Données - ICI'!$Y$10</definedName>
    <definedName name="ici_facteur_emp_MRC" localSheetId="3">'Données - ICI'!$BY$10</definedName>
    <definedName name="ici_facteur_emp_MRC">'Données - ICI'!$BY$10</definedName>
    <definedName name="ici_rejets_mo" localSheetId="3">'Données - ICI'!#REF!</definedName>
    <definedName name="ici_rejets_mo">'Données - ICI'!#REF!</definedName>
    <definedName name="ici_rejets_tri" localSheetId="3">'Données - ICI'!#REF!</definedName>
    <definedName name="ici_rejets_tri">'Données - ICI'!#REF!</definedName>
    <definedName name="ici_utiliser_donnees" localSheetId="3">'Données - ICI'!$AB$31</definedName>
    <definedName name="ici_utiliser_donnees">'Données - ICI'!$AB$31</definedName>
    <definedName name="ici_utiliser_rejets" localSheetId="3">'Données - ICI'!$AB$268</definedName>
    <definedName name="ici_utiliser_rejets">'Données - ICI'!XCU1048559</definedName>
    <definedName name="_xlnm.Print_Titles" localSheetId="4">'Résultats - ICI'!$12:$13</definedName>
    <definedName name="_xlnm.Print_Titles" localSheetId="2">'Résultats - Résidentiel'!$12:$13</definedName>
    <definedName name="ligne">Programmation!$A$3</definedName>
    <definedName name="menu_outil">Programmation!$E$7</definedName>
    <definedName name="menu_utilisateur">Programmation!$E$8</definedName>
    <definedName name="N.A.">Programmation!$E$38</definedName>
    <definedName name="N.D.">Programmation!$E$37</definedName>
    <definedName name="outil">Programmation!$F$44</definedName>
    <definedName name="puce1">Programmation!$V$6</definedName>
    <definedName name="puce2">Programmation!$V$7</definedName>
    <definedName name="question_outil_utilisateur">Programmation!$F$50</definedName>
    <definedName name="RA_1">Programmation!$A$33:$A$40</definedName>
    <definedName name="RA_10">Programmation!$A$83:$A$85</definedName>
    <definedName name="RA_11">Programmation!$A$86:$A$91</definedName>
    <definedName name="RA_12">Programmation!$A$92:$A$101</definedName>
    <definedName name="RA_13">Programmation!$A$102</definedName>
    <definedName name="RA_14">Programmation!$A$103:$A$108</definedName>
    <definedName name="RA_15">Programmation!$A$109:$A$116</definedName>
    <definedName name="RA_16">Programmation!$A$117:$A$131</definedName>
    <definedName name="RA_17">Programmation!$A$132:$A$136</definedName>
    <definedName name="RA_2">Programmation!$A$41:$A$45</definedName>
    <definedName name="RA_3">Programmation!$A$46:$A$52</definedName>
    <definedName name="RA_4">Programmation!$A$53:$A$58</definedName>
    <definedName name="RA_5">Programmation!$A$59:$A$65</definedName>
    <definedName name="RA_6">Programmation!$A$66</definedName>
    <definedName name="RA_7">Programmation!$A$67:$A$71</definedName>
    <definedName name="RA_8">Programmation!$A$72:$A$76</definedName>
    <definedName name="RA_9">Programmation!$A$77:$A$82</definedName>
    <definedName name="Region_administrative">Programmation!$A$13:$A$29</definedName>
    <definedName name="res_pers_multi">'Données - Résidentiel'!$BM$9</definedName>
    <definedName name="res_pers_plex">'Données - Résidentiel'!$BM$10</definedName>
    <definedName name="res_pers_uni">'Données - Résidentiel'!$BM$11</definedName>
    <definedName name="res_pers_uni_r">'Données - Résidentiel'!$BM$12</definedName>
    <definedName name="res_pers_uni_u">'Données - Résidentiel'!$BM$11</definedName>
    <definedName name="res_UO_multi">'Données - Résidentiel'!$CI$9</definedName>
    <definedName name="res_UO_plex">'Données - Résidentiel'!$CI$10</definedName>
    <definedName name="res_UO_uni">'Données - Résidentiel'!$CI$11</definedName>
    <definedName name="res_UO_uni_r">'Données - Résidentiel'!$CI$12</definedName>
    <definedName name="res_utiliser_autres">'Données - Résidentiel'!$AC$215</definedName>
    <definedName name="res_utiliser_boues">'Données - Résidentiel'!$AB$139</definedName>
    <definedName name="res_utiliser_MO">'Données - Résidentiel'!#REF!</definedName>
    <definedName name="res_utiliser_recyclables">'Données - Résidentiel'!$AB$32</definedName>
    <definedName name="res_utiliser_rejets">'Données - Résidentiel'!$AM$199</definedName>
    <definedName name="res_utiliser_textile">'Données - Résidentiel'!$AB$175</definedName>
    <definedName name="res_utiliser_VHU">'Données - Résidentiel'!$AB$159</definedName>
    <definedName name="retour">Programmation!$F$45</definedName>
    <definedName name="texte_marge">Programmation!$F$53</definedName>
    <definedName name="titre_marge">Programmation!$F$52</definedName>
    <definedName name="txt_aide">Programmation!$F$55</definedName>
    <definedName name="txt_N.A.">Programmation!$F$36</definedName>
    <definedName name="txt_N.D.">Programmation!$F$35</definedName>
    <definedName name="txt_outil">Programmation!$F$47</definedName>
    <definedName name="txt_pour_info">Programmation!$F$58</definedName>
    <definedName name="txt_utilisateur">Programmation!$F$48</definedName>
    <definedName name="txt_validation">Programmation!$F$56</definedName>
    <definedName name="utilisateur">Programmation!$F$43</definedName>
    <definedName name="ventil1">Programmation!$F$59</definedName>
    <definedName name="ventil2">Programmation!$F$60</definedName>
    <definedName name="_xlnm.Print_Area" localSheetId="5">'Données - CRD'!$F$2:$BO$45</definedName>
    <definedName name="_xlnm.Print_Area" localSheetId="3">'Données - ICI'!$F$2:$DF$297</definedName>
    <definedName name="_xlnm.Print_Area" localSheetId="1">'Données - Résidentiel'!$F$2:$BF$251</definedName>
    <definedName name="_xlnm.Print_Area" localSheetId="0">'Données générales'!$F$1:$BA$26</definedName>
    <definedName name="_xlnm.Print_Area" localSheetId="4">'Résultats - ICI'!$B$12:$AD$97</definedName>
    <definedName name="_xlnm.Print_Area" localSheetId="2">'Résultats - Résidentiel'!$B$12:$AD$106</definedName>
    <definedName name="_xlnm.Print_Area" localSheetId="6">'Résultats CRD'!$B$12:$AI$29</definedName>
    <definedName name="_xlnm.Print_Area" localSheetId="7">'Résultats globaux'!$B$12:$AI$32</definedName>
    <definedName name="_xlnm.Print_Area" localSheetId="8">Sources!$B$2:$AY$42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7" i="17" l="1"/>
  <c r="J7" i="17"/>
  <c r="BH15" i="17"/>
  <c r="BH27" i="17" l="1"/>
  <c r="CH27" i="17" s="1"/>
  <c r="CG31" i="17"/>
  <c r="CG30" i="17"/>
  <c r="CG29" i="17"/>
  <c r="CG28" i="17"/>
  <c r="CG27" i="17"/>
  <c r="CG26" i="17"/>
  <c r="CG25" i="17"/>
  <c r="CG24" i="17"/>
  <c r="CG23" i="17"/>
  <c r="CG22" i="17"/>
  <c r="CG21" i="17"/>
  <c r="CG19" i="17"/>
  <c r="CG18" i="17"/>
  <c r="CG17" i="17"/>
  <c r="CG16" i="17"/>
  <c r="CG15" i="17"/>
  <c r="Y20" i="12" l="1"/>
  <c r="BJ23" i="13"/>
  <c r="BJ19" i="13"/>
  <c r="BJ20" i="13"/>
  <c r="BJ21" i="13"/>
  <c r="BJ22" i="13"/>
  <c r="BJ17" i="13"/>
  <c r="BE18" i="13"/>
  <c r="BE25" i="13" s="1"/>
  <c r="AZ18" i="13"/>
  <c r="AZ25" i="13" s="1"/>
  <c r="V25" i="13"/>
  <c r="AA23" i="13"/>
  <c r="AA25" i="13" s="1"/>
  <c r="AU14" i="12"/>
  <c r="CN17" i="13"/>
  <c r="Y19" i="12" s="1"/>
  <c r="CD23" i="13"/>
  <c r="O25" i="12" s="1"/>
  <c r="CN19" i="13"/>
  <c r="Y21" i="12" s="1"/>
  <c r="CN20" i="13"/>
  <c r="Y22" i="12" s="1"/>
  <c r="CN21" i="13"/>
  <c r="Y23" i="12" s="1"/>
  <c r="CN22" i="13"/>
  <c r="Y24" i="12" s="1"/>
  <c r="CN16" i="13"/>
  <c r="BS23" i="13"/>
  <c r="V23" i="13"/>
  <c r="CI23" i="13" s="1"/>
  <c r="V22" i="13"/>
  <c r="V21" i="13"/>
  <c r="V20" i="13"/>
  <c r="Q22" i="13"/>
  <c r="Q21" i="13"/>
  <c r="Q20" i="13"/>
  <c r="O16" i="12"/>
  <c r="T16" i="12"/>
  <c r="Y16" i="12"/>
  <c r="D25" i="12"/>
  <c r="AD16" i="12"/>
  <c r="AF23" i="13" l="1"/>
  <c r="CN23" i="13"/>
  <c r="Y25" i="12" s="1"/>
  <c r="CN18" i="13"/>
  <c r="T25" i="12"/>
  <c r="BE16" i="13"/>
  <c r="AZ16" i="13"/>
  <c r="AU16" i="13"/>
  <c r="J169" i="17"/>
  <c r="AD25" i="12" l="1"/>
  <c r="Y27" i="12"/>
  <c r="CN25" i="13"/>
  <c r="AH110" i="17"/>
  <c r="Y20" i="20" l="1"/>
  <c r="Y26" i="20" s="1"/>
  <c r="AF17" i="19" l="1"/>
  <c r="O75" i="16" l="1"/>
  <c r="T75" i="16"/>
  <c r="Y30" i="16"/>
  <c r="AZ2" i="1" l="1"/>
  <c r="KH180" i="19" l="1"/>
  <c r="K74" i="19" l="1"/>
  <c r="E42" i="5" l="1"/>
  <c r="E69" i="5"/>
  <c r="E66" i="5"/>
  <c r="E39" i="5"/>
  <c r="AZ37" i="19" l="1"/>
  <c r="CI12" i="19" l="1"/>
  <c r="CI11" i="19"/>
  <c r="BM11" i="19" s="1"/>
  <c r="BS12" i="19"/>
  <c r="BM12" i="19" l="1"/>
  <c r="CF24" i="19" s="1"/>
  <c r="AA58" i="19"/>
  <c r="AA57" i="19"/>
  <c r="AA59" i="19"/>
  <c r="CA19" i="19"/>
  <c r="DL24" i="19"/>
  <c r="DL20" i="19"/>
  <c r="DL19" i="19"/>
  <c r="DL23" i="19"/>
  <c r="CA24" i="19"/>
  <c r="CA23" i="19"/>
  <c r="CA20" i="19"/>
  <c r="AF18" i="19"/>
  <c r="AF16" i="19"/>
  <c r="AF15" i="19"/>
  <c r="K18" i="19"/>
  <c r="K12" i="19"/>
  <c r="CF20" i="19" l="1"/>
  <c r="DQ20" i="19"/>
  <c r="CF19" i="19"/>
  <c r="EV24" i="19"/>
  <c r="DQ23" i="19"/>
  <c r="EV19" i="19"/>
  <c r="AA61" i="19"/>
  <c r="EV23" i="19"/>
  <c r="CF23" i="19"/>
  <c r="DQ19" i="19"/>
  <c r="DQ24" i="19"/>
  <c r="FA24" i="19" s="1"/>
  <c r="EV20" i="19"/>
  <c r="S148" i="19"/>
  <c r="FA20" i="19" l="1"/>
  <c r="FA23" i="19"/>
  <c r="FA19" i="19"/>
  <c r="KH57" i="19"/>
  <c r="Q25" i="13"/>
  <c r="CI22" i="13"/>
  <c r="CI20" i="13"/>
  <c r="T22" i="12" s="1"/>
  <c r="Q19" i="13"/>
  <c r="V19" i="13"/>
  <c r="CI19" i="13" s="1"/>
  <c r="CI21" i="13"/>
  <c r="T23" i="12" s="1"/>
  <c r="BY9" i="17"/>
  <c r="BM9" i="17"/>
  <c r="O124" i="17"/>
  <c r="AO124" i="17"/>
  <c r="AI125" i="17" s="1"/>
  <c r="AJ125" i="17" s="1"/>
  <c r="X166" i="17"/>
  <c r="AX158" i="17"/>
  <c r="AX159" i="17"/>
  <c r="AX160" i="17"/>
  <c r="AX161" i="17"/>
  <c r="AX162" i="17"/>
  <c r="AX163" i="17"/>
  <c r="AX164" i="17"/>
  <c r="J151" i="17"/>
  <c r="BQ58" i="19"/>
  <c r="BQ59" i="19"/>
  <c r="CA57" i="19"/>
  <c r="CA58" i="19"/>
  <c r="CA67" i="19" s="1"/>
  <c r="Y30" i="18" s="1"/>
  <c r="Y83" i="18" s="1"/>
  <c r="CA59" i="19"/>
  <c r="CA68" i="19" s="1"/>
  <c r="Y31" i="18" s="1"/>
  <c r="Y84" i="18" s="1"/>
  <c r="BI194" i="19"/>
  <c r="DI263" i="17" s="1"/>
  <c r="W275" i="17"/>
  <c r="DV275" i="17" s="1"/>
  <c r="T58" i="16" s="1"/>
  <c r="T90" i="16" s="1"/>
  <c r="V223" i="19"/>
  <c r="BV222" i="19" s="1"/>
  <c r="T64" i="18" s="1"/>
  <c r="T90" i="18" s="1"/>
  <c r="V224" i="19"/>
  <c r="BV223" i="19" s="1"/>
  <c r="V180" i="19"/>
  <c r="BV180" i="19" s="1"/>
  <c r="V164" i="19"/>
  <c r="BV164" i="19" s="1"/>
  <c r="T48" i="18" s="1"/>
  <c r="T85" i="18" s="1"/>
  <c r="CM57" i="19"/>
  <c r="CM58" i="19"/>
  <c r="CM59" i="19"/>
  <c r="V221" i="19"/>
  <c r="BV220" i="19" s="1"/>
  <c r="T41" i="16"/>
  <c r="T79" i="16" s="1"/>
  <c r="T42" i="16"/>
  <c r="T80" i="16" s="1"/>
  <c r="T43" i="16"/>
  <c r="T81" i="16" s="1"/>
  <c r="T44" i="16"/>
  <c r="T45" i="16"/>
  <c r="T83" i="16" s="1"/>
  <c r="T46" i="16"/>
  <c r="T84" i="16" s="1"/>
  <c r="T47" i="16"/>
  <c r="T48" i="16"/>
  <c r="T86" i="16" s="1"/>
  <c r="T49" i="16"/>
  <c r="T87" i="16" s="1"/>
  <c r="Q223" i="19"/>
  <c r="Q222" i="19" s="1"/>
  <c r="Q180" i="19"/>
  <c r="BQ180" i="19" s="1"/>
  <c r="O53" i="18" s="1"/>
  <c r="O86" i="18" s="1"/>
  <c r="Q164" i="19"/>
  <c r="BQ164" i="19" s="1"/>
  <c r="O60" i="16"/>
  <c r="O87" i="18"/>
  <c r="O88" i="18"/>
  <c r="O41" i="16"/>
  <c r="O79" i="16" s="1"/>
  <c r="O42" i="16"/>
  <c r="O80" i="16" s="1"/>
  <c r="O43" i="16"/>
  <c r="O81" i="16" s="1"/>
  <c r="O44" i="16"/>
  <c r="O45" i="16"/>
  <c r="O83" i="16" s="1"/>
  <c r="O46" i="16"/>
  <c r="O47" i="16"/>
  <c r="O85" i="16" s="1"/>
  <c r="O48" i="16"/>
  <c r="O86" i="16" s="1"/>
  <c r="O49" i="16"/>
  <c r="O87" i="16" s="1"/>
  <c r="BQ220" i="19"/>
  <c r="O62" i="18" s="1"/>
  <c r="CG58" i="19"/>
  <c r="CG53" i="19"/>
  <c r="CS69" i="19"/>
  <c r="CS70" i="19"/>
  <c r="I5" i="17"/>
  <c r="C104" i="17"/>
  <c r="I104" i="17" s="1"/>
  <c r="KH224" i="19"/>
  <c r="KH223" i="19"/>
  <c r="KH221" i="19"/>
  <c r="L193" i="19"/>
  <c r="BI75" i="19"/>
  <c r="DI168" i="17" s="1"/>
  <c r="KH59" i="19"/>
  <c r="KH58" i="19"/>
  <c r="KC60" i="19"/>
  <c r="V61" i="19"/>
  <c r="AH61" i="19" s="1"/>
  <c r="Q61" i="19"/>
  <c r="KB35" i="19"/>
  <c r="AI113" i="17"/>
  <c r="DK113" i="17" s="1"/>
  <c r="AI114" i="17"/>
  <c r="DK114" i="17" s="1"/>
  <c r="AI115" i="17"/>
  <c r="DK115" i="17" s="1"/>
  <c r="AI116" i="17"/>
  <c r="DK116" i="17" s="1"/>
  <c r="AI117" i="17"/>
  <c r="DK117" i="17" s="1"/>
  <c r="AI118" i="17"/>
  <c r="DK118" i="17" s="1"/>
  <c r="AI119" i="17"/>
  <c r="DK119" i="17" s="1"/>
  <c r="AI120" i="17"/>
  <c r="DK120" i="17" s="1"/>
  <c r="AI121" i="17"/>
  <c r="DK121" i="17" s="1"/>
  <c r="AI122" i="17"/>
  <c r="DK122" i="17" s="1"/>
  <c r="K123" i="19"/>
  <c r="AL8" i="19"/>
  <c r="BT117" i="19"/>
  <c r="BT118" i="19"/>
  <c r="BT119" i="19"/>
  <c r="BT120" i="19"/>
  <c r="BT121" i="19"/>
  <c r="BN117" i="19"/>
  <c r="BN118" i="19"/>
  <c r="BN119" i="19"/>
  <c r="BN120" i="19"/>
  <c r="BN121" i="19"/>
  <c r="BN116" i="19"/>
  <c r="BN97" i="19"/>
  <c r="BN98" i="19"/>
  <c r="BN99" i="19"/>
  <c r="BN100" i="19"/>
  <c r="BN101" i="19"/>
  <c r="BN96" i="19"/>
  <c r="KJ45" i="19"/>
  <c r="KJ44" i="19"/>
  <c r="KJ43" i="19"/>
  <c r="KJ42" i="19"/>
  <c r="AH224" i="19"/>
  <c r="AH223" i="19"/>
  <c r="KC224" i="19"/>
  <c r="KC223" i="19"/>
  <c r="KE45" i="19"/>
  <c r="KE44" i="19"/>
  <c r="KE43" i="19"/>
  <c r="KE42" i="19"/>
  <c r="KJ33" i="19"/>
  <c r="KE33" i="19"/>
  <c r="AO96" i="19"/>
  <c r="BT96" i="19" s="1"/>
  <c r="BT103" i="19" s="1"/>
  <c r="AU144" i="19" s="1"/>
  <c r="AO97" i="19"/>
  <c r="BT97" i="19"/>
  <c r="BA178" i="17"/>
  <c r="BA184" i="17"/>
  <c r="BA187" i="17"/>
  <c r="AS178" i="17"/>
  <c r="AS184" i="17"/>
  <c r="AS205" i="17"/>
  <c r="AS187" i="17"/>
  <c r="U124" i="17"/>
  <c r="BV56" i="19"/>
  <c r="CS56" i="19" s="1"/>
  <c r="C32" i="19"/>
  <c r="J32" i="19" s="1"/>
  <c r="AO117" i="19"/>
  <c r="AU222" i="19"/>
  <c r="AU226" i="19"/>
  <c r="AP222" i="19"/>
  <c r="AG31" i="19"/>
  <c r="FK14" i="17" s="1"/>
  <c r="AA113" i="17"/>
  <c r="ED6" i="17"/>
  <c r="EC6" i="17"/>
  <c r="EB6" i="17"/>
  <c r="DZ6" i="17"/>
  <c r="DY6" i="17"/>
  <c r="DX6" i="17"/>
  <c r="DW6" i="17"/>
  <c r="DU6" i="17"/>
  <c r="DT6" i="17"/>
  <c r="DS6" i="17"/>
  <c r="DQ6" i="17"/>
  <c r="DP6" i="17"/>
  <c r="DO6" i="17"/>
  <c r="DN6" i="17"/>
  <c r="BQ56" i="19"/>
  <c r="BQ65" i="19" s="1"/>
  <c r="O28" i="18" s="1"/>
  <c r="O81" i="18" s="1"/>
  <c r="CA56" i="19"/>
  <c r="CA65" i="19" s="1"/>
  <c r="Y28" i="18" s="1"/>
  <c r="Y81" i="18" s="1"/>
  <c r="BI56" i="19"/>
  <c r="BI65" i="19" s="1"/>
  <c r="CA55" i="19"/>
  <c r="CA64" i="19" s="1"/>
  <c r="BQ55" i="19"/>
  <c r="BQ64" i="19" s="1"/>
  <c r="BV64" i="19"/>
  <c r="D33" i="18"/>
  <c r="D29" i="18"/>
  <c r="D82" i="18" s="1"/>
  <c r="D30" i="18"/>
  <c r="D83" i="18" s="1"/>
  <c r="D31" i="18"/>
  <c r="D84" i="18" s="1"/>
  <c r="D28" i="18"/>
  <c r="D81" i="18" s="1"/>
  <c r="BI58" i="19"/>
  <c r="BI67" i="19" s="1"/>
  <c r="BI59" i="19"/>
  <c r="BI68" i="19" s="1"/>
  <c r="BI57" i="19"/>
  <c r="BI66" i="19" s="1"/>
  <c r="D57" i="16"/>
  <c r="D89" i="16" s="1"/>
  <c r="D58" i="16"/>
  <c r="D90" i="16" s="1"/>
  <c r="D56" i="16"/>
  <c r="D88" i="16" s="1"/>
  <c r="EN280" i="17"/>
  <c r="D91" i="16"/>
  <c r="O90" i="16"/>
  <c r="O89" i="16"/>
  <c r="O88" i="16"/>
  <c r="D78" i="16"/>
  <c r="D77" i="16"/>
  <c r="D75" i="16"/>
  <c r="D74" i="16"/>
  <c r="CN211" i="19"/>
  <c r="DI275" i="17"/>
  <c r="AV277" i="17"/>
  <c r="AH275" i="17"/>
  <c r="AM67" i="17"/>
  <c r="AM64" i="17"/>
  <c r="AM58" i="17"/>
  <c r="AM37" i="17"/>
  <c r="AM80" i="17"/>
  <c r="AY67" i="17"/>
  <c r="AU67" i="17"/>
  <c r="AQ67" i="17"/>
  <c r="AQ46" i="17"/>
  <c r="AY64" i="17"/>
  <c r="AU64" i="17"/>
  <c r="AQ64" i="17"/>
  <c r="AY58" i="17"/>
  <c r="AU58" i="17"/>
  <c r="AQ58" i="17"/>
  <c r="AY37" i="17"/>
  <c r="AY43" i="17"/>
  <c r="AY46" i="17"/>
  <c r="AU37" i="17"/>
  <c r="AU43" i="17"/>
  <c r="AU46" i="17"/>
  <c r="AQ37" i="17"/>
  <c r="AQ43" i="17"/>
  <c r="FK11" i="17"/>
  <c r="AM27" i="17" s="1"/>
  <c r="AU18" i="13"/>
  <c r="AS208" i="17"/>
  <c r="AS199" i="17"/>
  <c r="AN145" i="17"/>
  <c r="EK122" i="17" s="1"/>
  <c r="AP42" i="19"/>
  <c r="DT204" i="19" s="1"/>
  <c r="DN204" i="19" s="1"/>
  <c r="AZ164" i="19"/>
  <c r="AP226" i="19"/>
  <c r="AZ180" i="19"/>
  <c r="AQ81" i="17"/>
  <c r="AQ80" i="17"/>
  <c r="AQ82" i="17"/>
  <c r="AQ83" i="17"/>
  <c r="AQ84" i="17"/>
  <c r="AQ86" i="17"/>
  <c r="AQ87" i="17"/>
  <c r="AQ89" i="17"/>
  <c r="AQ90" i="17"/>
  <c r="AQ91" i="17"/>
  <c r="AQ93" i="17"/>
  <c r="AM43" i="17"/>
  <c r="AM46" i="17"/>
  <c r="AY80" i="17"/>
  <c r="AY81" i="17"/>
  <c r="AY82" i="17"/>
  <c r="AY83" i="17"/>
  <c r="AY84" i="17"/>
  <c r="AY86" i="17"/>
  <c r="AY87" i="17"/>
  <c r="AY89" i="17"/>
  <c r="AY90" i="17"/>
  <c r="AY91" i="17"/>
  <c r="AU80" i="17"/>
  <c r="AU81" i="17"/>
  <c r="AU82" i="17"/>
  <c r="AU83" i="17"/>
  <c r="AU84" i="17"/>
  <c r="AU86" i="17"/>
  <c r="AU87" i="17"/>
  <c r="AU89" i="17"/>
  <c r="AU90" i="17"/>
  <c r="AU91" i="17"/>
  <c r="AM81" i="17"/>
  <c r="AM82" i="17"/>
  <c r="AM83" i="17"/>
  <c r="AM84" i="17"/>
  <c r="AM86" i="17"/>
  <c r="AM87" i="17"/>
  <c r="AM89" i="17"/>
  <c r="AM90" i="17"/>
  <c r="AM91" i="17"/>
  <c r="AV207" i="19"/>
  <c r="CI9" i="19"/>
  <c r="BM9" i="19" s="1"/>
  <c r="CI10" i="19"/>
  <c r="BM10" i="19" s="1"/>
  <c r="BV19" i="19" s="1"/>
  <c r="AU42" i="19"/>
  <c r="AG106" i="17"/>
  <c r="C51" i="19"/>
  <c r="C53" i="19" s="1"/>
  <c r="J53" i="19" s="1"/>
  <c r="AH174" i="17"/>
  <c r="C6" i="1"/>
  <c r="C8" i="1" s="1"/>
  <c r="BX134" i="19"/>
  <c r="BQ134" i="19"/>
  <c r="AU146" i="19" s="1"/>
  <c r="BV146" i="19"/>
  <c r="T41" i="18" s="1"/>
  <c r="T100" i="18" s="1"/>
  <c r="BX133" i="19"/>
  <c r="BQ133" i="19"/>
  <c r="AP146" i="19" s="1"/>
  <c r="BQ146" i="19"/>
  <c r="O41" i="18" s="1"/>
  <c r="AO116" i="19"/>
  <c r="BT116" i="19"/>
  <c r="BH121" i="19"/>
  <c r="BH120" i="19"/>
  <c r="BH119" i="19"/>
  <c r="BH118" i="19"/>
  <c r="BH117" i="19"/>
  <c r="BH116" i="19"/>
  <c r="BT115" i="19"/>
  <c r="BN115" i="19"/>
  <c r="AO121" i="19"/>
  <c r="AO120" i="19"/>
  <c r="AO119" i="19"/>
  <c r="AO118" i="19"/>
  <c r="K103" i="19"/>
  <c r="C14" i="19"/>
  <c r="J14" i="19" s="1"/>
  <c r="C30" i="19"/>
  <c r="J30" i="19" s="1"/>
  <c r="D34" i="19"/>
  <c r="AI34" i="19" s="1"/>
  <c r="G11" i="10"/>
  <c r="AI224" i="19"/>
  <c r="AI223" i="19"/>
  <c r="AH222" i="19"/>
  <c r="AH221" i="19"/>
  <c r="AO101" i="19"/>
  <c r="BT101" i="19"/>
  <c r="AO100" i="19"/>
  <c r="BT100" i="19"/>
  <c r="AO99" i="19"/>
  <c r="BT99" i="19"/>
  <c r="AO98" i="19"/>
  <c r="BT98" i="19"/>
  <c r="C7" i="19"/>
  <c r="J7" i="19" s="1"/>
  <c r="AU36" i="19"/>
  <c r="BV36" i="19" s="1"/>
  <c r="CU36" i="19" s="1"/>
  <c r="DT36" i="19" s="1"/>
  <c r="EK36" i="19" s="1"/>
  <c r="AP36" i="19"/>
  <c r="BQ36" i="19" s="1"/>
  <c r="CP36" i="19" s="1"/>
  <c r="DO36" i="19" s="1"/>
  <c r="EF36" i="19" s="1"/>
  <c r="AH12" i="12"/>
  <c r="BN2" i="13"/>
  <c r="AC12" i="16"/>
  <c r="BE2" i="19"/>
  <c r="AC12" i="18"/>
  <c r="G2" i="10"/>
  <c r="AH12" i="20"/>
  <c r="AX2" i="14"/>
  <c r="DD2" i="17"/>
  <c r="AH192" i="17"/>
  <c r="AH213" i="17" s="1"/>
  <c r="AH234" i="17" s="1"/>
  <c r="AG93" i="17"/>
  <c r="AG72" i="17"/>
  <c r="BT95" i="19"/>
  <c r="AZ247" i="17"/>
  <c r="AU247" i="17"/>
  <c r="AP247" i="17"/>
  <c r="AW199" i="17"/>
  <c r="AW205" i="17"/>
  <c r="AW208" i="17"/>
  <c r="BA199" i="17"/>
  <c r="BA205" i="17"/>
  <c r="BA208" i="17"/>
  <c r="C260" i="17"/>
  <c r="C270" i="17" s="1"/>
  <c r="J270" i="17" s="1"/>
  <c r="DI274" i="17"/>
  <c r="DI273" i="17"/>
  <c r="AH273" i="17"/>
  <c r="AH274" i="17"/>
  <c r="D92" i="18"/>
  <c r="I5" i="19"/>
  <c r="I22" i="19"/>
  <c r="D59" i="18"/>
  <c r="DI280" i="17"/>
  <c r="O104" i="18"/>
  <c r="X148" i="19"/>
  <c r="T104" i="18" s="1"/>
  <c r="BI211" i="19"/>
  <c r="DI277" i="17"/>
  <c r="AE228" i="19"/>
  <c r="AG209" i="19"/>
  <c r="AE182" i="19"/>
  <c r="AE166" i="19"/>
  <c r="AE150" i="19"/>
  <c r="AE44" i="19"/>
  <c r="BQ223" i="19"/>
  <c r="O65" i="18" s="1"/>
  <c r="O91" i="18" s="1"/>
  <c r="BK25" i="18"/>
  <c r="D25" i="18" s="1"/>
  <c r="E65" i="18"/>
  <c r="E64" i="18"/>
  <c r="D62" i="18"/>
  <c r="O59" i="18"/>
  <c r="D63" i="18"/>
  <c r="AH204" i="19"/>
  <c r="AH205" i="19"/>
  <c r="DQ122" i="17"/>
  <c r="DQ121" i="17"/>
  <c r="DQ120" i="17"/>
  <c r="DQ119" i="17"/>
  <c r="DQ118" i="17"/>
  <c r="DQ117" i="17"/>
  <c r="DQ116" i="17"/>
  <c r="DQ115" i="17"/>
  <c r="DQ114" i="17"/>
  <c r="DQ113" i="17"/>
  <c r="AW178" i="17"/>
  <c r="AW184" i="17"/>
  <c r="AW187" i="17"/>
  <c r="D60" i="16"/>
  <c r="BK54" i="16"/>
  <c r="D54" i="16" s="1"/>
  <c r="BK38" i="16"/>
  <c r="D38" i="16" s="1"/>
  <c r="BK26" i="16"/>
  <c r="D26" i="16" s="1"/>
  <c r="D50" i="16"/>
  <c r="D29" i="16"/>
  <c r="D24" i="16"/>
  <c r="D36" i="16" s="1"/>
  <c r="D52" i="16" s="1"/>
  <c r="D20" i="16"/>
  <c r="D71" i="16" s="1"/>
  <c r="D21" i="16"/>
  <c r="D72" i="16" s="1"/>
  <c r="D22" i="16"/>
  <c r="D73" i="16" s="1"/>
  <c r="D19" i="16"/>
  <c r="D70" i="16" s="1"/>
  <c r="DI167" i="17"/>
  <c r="BA234" i="17"/>
  <c r="AW234" i="17"/>
  <c r="AS234" i="17"/>
  <c r="DV272" i="17"/>
  <c r="AY93" i="17"/>
  <c r="AU93" i="17"/>
  <c r="AM93" i="17"/>
  <c r="D33" i="17"/>
  <c r="AK33" i="17" s="1"/>
  <c r="C33" i="17"/>
  <c r="J33" i="17" s="1"/>
  <c r="C31" i="17"/>
  <c r="J31" i="17" s="1"/>
  <c r="C7" i="17"/>
  <c r="ET47" i="17"/>
  <c r="EO47" i="17"/>
  <c r="EJ47" i="17"/>
  <c r="DI262" i="17"/>
  <c r="DI261" i="17"/>
  <c r="AJ270" i="17"/>
  <c r="K270" i="17"/>
  <c r="L126" i="19"/>
  <c r="L106" i="19"/>
  <c r="AI280" i="17"/>
  <c r="AG279" i="17"/>
  <c r="AH278" i="17"/>
  <c r="AH277" i="17"/>
  <c r="AV272" i="17"/>
  <c r="K268" i="17"/>
  <c r="BI205" i="19"/>
  <c r="BI204" i="19"/>
  <c r="D41" i="18"/>
  <c r="D100" i="18" s="1"/>
  <c r="D40" i="18"/>
  <c r="D99" i="18" s="1"/>
  <c r="D39" i="18"/>
  <c r="D98" i="18" s="1"/>
  <c r="BI148" i="19"/>
  <c r="D43" i="18" s="1"/>
  <c r="BK36" i="18"/>
  <c r="D36" i="18" s="1"/>
  <c r="BI207" i="19"/>
  <c r="BV203" i="19"/>
  <c r="AJ201" i="19"/>
  <c r="L201" i="19"/>
  <c r="AI210" i="19"/>
  <c r="AH208" i="19"/>
  <c r="AH207" i="19"/>
  <c r="AV203" i="19"/>
  <c r="AZ36" i="19"/>
  <c r="CA36" i="19" s="1"/>
  <c r="CZ36" i="19" s="1"/>
  <c r="DY36" i="19" s="1"/>
  <c r="EP36" i="19" s="1"/>
  <c r="E89" i="5"/>
  <c r="C34" i="19"/>
  <c r="J34" i="19" s="1"/>
  <c r="BI42" i="19"/>
  <c r="CH42" i="19" s="1"/>
  <c r="DG42" i="19" s="1"/>
  <c r="BI40" i="19"/>
  <c r="BI39" i="19"/>
  <c r="BI38" i="19"/>
  <c r="BI37" i="19"/>
  <c r="AZ38" i="19"/>
  <c r="AZ39" i="19"/>
  <c r="AZ40" i="19"/>
  <c r="I149" i="19"/>
  <c r="BI19" i="19"/>
  <c r="CH37" i="19" s="1"/>
  <c r="DG37" i="19" s="1"/>
  <c r="BI20" i="19"/>
  <c r="CH38" i="19" s="1"/>
  <c r="DG38" i="19" s="1"/>
  <c r="BI23" i="19"/>
  <c r="CH39" i="19" s="1"/>
  <c r="DG39" i="19" s="1"/>
  <c r="BI24" i="19"/>
  <c r="CH40" i="19" s="1"/>
  <c r="DG40" i="19" s="1"/>
  <c r="AI151" i="19"/>
  <c r="AJ141" i="19"/>
  <c r="K141" i="19"/>
  <c r="K139" i="19"/>
  <c r="BI146" i="19"/>
  <c r="BI145" i="19"/>
  <c r="BI144" i="19"/>
  <c r="CA143" i="19"/>
  <c r="BV143" i="19"/>
  <c r="BQ143" i="19"/>
  <c r="BX132" i="19"/>
  <c r="BQ132" i="19"/>
  <c r="L135" i="19"/>
  <c r="L134" i="19"/>
  <c r="BN95" i="19"/>
  <c r="BH96" i="19"/>
  <c r="BH97" i="19"/>
  <c r="BH98" i="19"/>
  <c r="BH99" i="19"/>
  <c r="BH100" i="19"/>
  <c r="BH101" i="19"/>
  <c r="L80" i="19"/>
  <c r="C78" i="19"/>
  <c r="K78" i="19" s="1"/>
  <c r="J77" i="19"/>
  <c r="EF122" i="17"/>
  <c r="EQ205" i="17"/>
  <c r="EO205" i="17"/>
  <c r="EM205" i="17"/>
  <c r="I40" i="17"/>
  <c r="I61" i="17" s="1"/>
  <c r="I21" i="17"/>
  <c r="AH220" i="17"/>
  <c r="I179" i="17"/>
  <c r="AH200" i="17" s="1"/>
  <c r="AI221" i="17"/>
  <c r="I180" i="17"/>
  <c r="I222" i="17" s="1"/>
  <c r="AI222" i="17"/>
  <c r="I181" i="17"/>
  <c r="AH181" i="17" s="1"/>
  <c r="AI223" i="17"/>
  <c r="I182" i="17"/>
  <c r="AH203" i="17" s="1"/>
  <c r="AI224" i="17"/>
  <c r="I183" i="17"/>
  <c r="I225" i="17" s="1"/>
  <c r="AI225" i="17"/>
  <c r="AH226" i="17"/>
  <c r="I185" i="17"/>
  <c r="AH206" i="17" s="1"/>
  <c r="AI227" i="17"/>
  <c r="I186" i="17"/>
  <c r="I228" i="17" s="1"/>
  <c r="AI228" i="17"/>
  <c r="AH229" i="17"/>
  <c r="I188" i="17"/>
  <c r="I209" i="17" s="1"/>
  <c r="AI230" i="17"/>
  <c r="I189" i="17"/>
  <c r="AH231" i="17" s="1"/>
  <c r="AI231" i="17"/>
  <c r="I190" i="17"/>
  <c r="AH211" i="17" s="1"/>
  <c r="AI232" i="17"/>
  <c r="AH236" i="17"/>
  <c r="AH199" i="17"/>
  <c r="AI200" i="17"/>
  <c r="AI201" i="17"/>
  <c r="AI202" i="17"/>
  <c r="AI203" i="17"/>
  <c r="AI204" i="17"/>
  <c r="AH205" i="17"/>
  <c r="AI206" i="17"/>
  <c r="AI207" i="17"/>
  <c r="AH208" i="17"/>
  <c r="AI209" i="17"/>
  <c r="AI210" i="17"/>
  <c r="AI211" i="17"/>
  <c r="AH215" i="17"/>
  <c r="AH178" i="17"/>
  <c r="AI179" i="17"/>
  <c r="AI180" i="17"/>
  <c r="AI181" i="17"/>
  <c r="AI182" i="17"/>
  <c r="AI183" i="17"/>
  <c r="AH184" i="17"/>
  <c r="AI185" i="17"/>
  <c r="AI186" i="17"/>
  <c r="AH187" i="17"/>
  <c r="AI188" i="17"/>
  <c r="AI189" i="17"/>
  <c r="AI190" i="17"/>
  <c r="AH194" i="17"/>
  <c r="I220" i="17"/>
  <c r="J221" i="17"/>
  <c r="J222" i="17"/>
  <c r="J223" i="17"/>
  <c r="J224" i="17"/>
  <c r="J225" i="17"/>
  <c r="I226" i="17"/>
  <c r="J227" i="17"/>
  <c r="J228" i="17"/>
  <c r="I229" i="17"/>
  <c r="J230" i="17"/>
  <c r="J231" i="17"/>
  <c r="J232" i="17"/>
  <c r="I236" i="17"/>
  <c r="I199" i="17"/>
  <c r="J200" i="17"/>
  <c r="J201" i="17"/>
  <c r="J202" i="17"/>
  <c r="J203" i="17"/>
  <c r="J204" i="17"/>
  <c r="I205" i="17"/>
  <c r="J206" i="17"/>
  <c r="J207" i="17"/>
  <c r="I208" i="17"/>
  <c r="J209" i="17"/>
  <c r="J210" i="17"/>
  <c r="J211" i="17"/>
  <c r="I215" i="17"/>
  <c r="J107" i="17"/>
  <c r="AL33" i="17"/>
  <c r="I58" i="17"/>
  <c r="I38" i="17"/>
  <c r="I59" i="17" s="1"/>
  <c r="J59" i="17"/>
  <c r="I39" i="17"/>
  <c r="I81" i="17" s="1"/>
  <c r="J60" i="17"/>
  <c r="J61" i="17"/>
  <c r="I41" i="17"/>
  <c r="I83" i="17" s="1"/>
  <c r="J62" i="17"/>
  <c r="I42" i="17"/>
  <c r="I84" i="17" s="1"/>
  <c r="J63" i="17"/>
  <c r="I64" i="17"/>
  <c r="I44" i="17"/>
  <c r="I86" i="17" s="1"/>
  <c r="J65" i="17"/>
  <c r="I45" i="17"/>
  <c r="I66" i="17" s="1"/>
  <c r="J66" i="17"/>
  <c r="I67" i="17"/>
  <c r="I47" i="17"/>
  <c r="I89" i="17" s="1"/>
  <c r="J68" i="17"/>
  <c r="I48" i="17"/>
  <c r="I69" i="17" s="1"/>
  <c r="J69" i="17"/>
  <c r="I49" i="17"/>
  <c r="I91" i="17" s="1"/>
  <c r="J70" i="17"/>
  <c r="I74" i="17"/>
  <c r="BA219" i="17"/>
  <c r="BA198" i="17"/>
  <c r="BA177" i="17"/>
  <c r="AB219" i="17"/>
  <c r="AB198" i="17"/>
  <c r="I223" i="19"/>
  <c r="BI222" i="19" s="1"/>
  <c r="I224" i="19"/>
  <c r="D65" i="18" s="1"/>
  <c r="D53" i="18"/>
  <c r="D86" i="18" s="1"/>
  <c r="D48" i="18"/>
  <c r="D85" i="18" s="1"/>
  <c r="D77" i="18"/>
  <c r="D19" i="18"/>
  <c r="D78" i="18" s="1"/>
  <c r="D20" i="18"/>
  <c r="D79" i="18" s="1"/>
  <c r="D21" i="18"/>
  <c r="D80" i="18" s="1"/>
  <c r="D67" i="18"/>
  <c r="BK56" i="18"/>
  <c r="D56" i="18" s="1"/>
  <c r="BK50" i="18"/>
  <c r="D50" i="18" s="1"/>
  <c r="BK45" i="18"/>
  <c r="D45" i="18" s="1"/>
  <c r="D23" i="18"/>
  <c r="BK14" i="18"/>
  <c r="D14" i="18" s="1"/>
  <c r="C8" i="13"/>
  <c r="C14" i="13" s="1"/>
  <c r="J14" i="13" s="1"/>
  <c r="AZ224" i="19"/>
  <c r="AZ223" i="19"/>
  <c r="AZ221" i="19"/>
  <c r="BI225" i="19"/>
  <c r="BI220" i="19"/>
  <c r="BI221" i="19"/>
  <c r="BJ222" i="19"/>
  <c r="BJ223" i="19"/>
  <c r="AJ218" i="19"/>
  <c r="L218" i="19"/>
  <c r="AH226" i="19"/>
  <c r="AI229" i="19"/>
  <c r="AH227" i="19"/>
  <c r="CA219" i="19"/>
  <c r="BV219" i="19"/>
  <c r="BQ219" i="19"/>
  <c r="AZ220" i="19"/>
  <c r="AU220" i="19"/>
  <c r="AP220" i="19"/>
  <c r="L215" i="19"/>
  <c r="K177" i="19"/>
  <c r="AJ177" i="19"/>
  <c r="AH181" i="19"/>
  <c r="BI180" i="19"/>
  <c r="AH180" i="19"/>
  <c r="CA179" i="19"/>
  <c r="BV179" i="19"/>
  <c r="BQ179" i="19"/>
  <c r="AZ179" i="19"/>
  <c r="AU179" i="19"/>
  <c r="AP179" i="19"/>
  <c r="K175" i="19"/>
  <c r="CA163" i="19"/>
  <c r="BV163" i="19"/>
  <c r="BQ163" i="19"/>
  <c r="BI164" i="19"/>
  <c r="AI167" i="19"/>
  <c r="AH165" i="19"/>
  <c r="AJ161" i="19"/>
  <c r="K161" i="19"/>
  <c r="AH164" i="19"/>
  <c r="AZ163" i="19"/>
  <c r="AU163" i="19"/>
  <c r="AP163" i="19"/>
  <c r="K159" i="19"/>
  <c r="L72" i="19"/>
  <c r="L71" i="19"/>
  <c r="L70" i="19"/>
  <c r="L67" i="19"/>
  <c r="AJ34" i="19"/>
  <c r="K34" i="19"/>
  <c r="BS10" i="19"/>
  <c r="BS11" i="19"/>
  <c r="BS9" i="19"/>
  <c r="AH40" i="19"/>
  <c r="ED24" i="19" s="1"/>
  <c r="AH39" i="19"/>
  <c r="ED23" i="19" s="1"/>
  <c r="AH38" i="19"/>
  <c r="ED20" i="19" s="1"/>
  <c r="AH37" i="19"/>
  <c r="ED19" i="19" s="1"/>
  <c r="CT19" i="19"/>
  <c r="CT20" i="19"/>
  <c r="CT23" i="19"/>
  <c r="CT24" i="19"/>
  <c r="AI45" i="19"/>
  <c r="AH43" i="19"/>
  <c r="AH42" i="19"/>
  <c r="K32" i="19"/>
  <c r="AL7" i="19"/>
  <c r="AQ7" i="14"/>
  <c r="AQ8" i="14"/>
  <c r="AQ9" i="14"/>
  <c r="AQ10" i="14"/>
  <c r="AQ11" i="14"/>
  <c r="AQ12" i="14"/>
  <c r="AQ13" i="14"/>
  <c r="AQ14" i="14"/>
  <c r="AQ15" i="14"/>
  <c r="Y7" i="14"/>
  <c r="Y8" i="14"/>
  <c r="Y9" i="14"/>
  <c r="Y10" i="14"/>
  <c r="Y11" i="14"/>
  <c r="Y12" i="14"/>
  <c r="Y13" i="14"/>
  <c r="Y14" i="14"/>
  <c r="Y15" i="14"/>
  <c r="J7" i="14"/>
  <c r="J8" i="14"/>
  <c r="J9" i="14"/>
  <c r="J10" i="14"/>
  <c r="J11" i="14"/>
  <c r="J12" i="14"/>
  <c r="J13" i="14"/>
  <c r="J14" i="14"/>
  <c r="J15" i="14"/>
  <c r="C7" i="14"/>
  <c r="C8" i="14"/>
  <c r="C9" i="14"/>
  <c r="C10" i="14"/>
  <c r="C11" i="14"/>
  <c r="C12" i="14"/>
  <c r="C13" i="14"/>
  <c r="C14" i="14"/>
  <c r="C15" i="14"/>
  <c r="AQ6" i="14"/>
  <c r="Y6" i="14"/>
  <c r="C6" i="14"/>
  <c r="J6" i="14"/>
  <c r="H241" i="19"/>
  <c r="O241" i="19"/>
  <c r="AD241" i="19"/>
  <c r="AV241" i="19"/>
  <c r="AQ20" i="14"/>
  <c r="AQ21" i="14"/>
  <c r="AQ22" i="14"/>
  <c r="AQ23" i="14"/>
  <c r="AQ24" i="14"/>
  <c r="AQ25" i="14"/>
  <c r="AQ26" i="14"/>
  <c r="AQ27" i="14"/>
  <c r="AQ28" i="14"/>
  <c r="Y20" i="14"/>
  <c r="Y21" i="14"/>
  <c r="Y22" i="14"/>
  <c r="Y23" i="14"/>
  <c r="Y24" i="14"/>
  <c r="Y25" i="14"/>
  <c r="Y26" i="14"/>
  <c r="Y27" i="14"/>
  <c r="Y28" i="14"/>
  <c r="J20" i="14"/>
  <c r="J21" i="14"/>
  <c r="J22" i="14"/>
  <c r="J23" i="14"/>
  <c r="J24" i="14"/>
  <c r="J25" i="14"/>
  <c r="J26" i="14"/>
  <c r="J27" i="14"/>
  <c r="J28" i="14"/>
  <c r="C20" i="14"/>
  <c r="C21" i="14"/>
  <c r="C22" i="14"/>
  <c r="C23" i="14"/>
  <c r="C24" i="14"/>
  <c r="C25" i="14"/>
  <c r="C26" i="14"/>
  <c r="C27" i="14"/>
  <c r="C28" i="14"/>
  <c r="AQ19" i="14"/>
  <c r="Y19" i="14"/>
  <c r="J19" i="14"/>
  <c r="C19" i="14"/>
  <c r="AV287" i="17"/>
  <c r="AD287" i="17"/>
  <c r="O287" i="17"/>
  <c r="H287" i="17"/>
  <c r="AS177" i="17"/>
  <c r="E32" i="16" s="1"/>
  <c r="D76" i="16" s="1"/>
  <c r="BA21" i="18"/>
  <c r="AF21" i="18" s="1"/>
  <c r="BA20" i="18"/>
  <c r="AF20" i="18" s="1"/>
  <c r="BA18" i="18"/>
  <c r="AF18" i="18" s="1"/>
  <c r="Y16" i="18"/>
  <c r="T16" i="18"/>
  <c r="O16" i="18"/>
  <c r="H2" i="19"/>
  <c r="D49" i="16"/>
  <c r="D87" i="16" s="1"/>
  <c r="D48" i="16"/>
  <c r="D86" i="16" s="1"/>
  <c r="D47" i="16"/>
  <c r="D85" i="16" s="1"/>
  <c r="D46" i="16"/>
  <c r="D84" i="16" s="1"/>
  <c r="D45" i="16"/>
  <c r="D83" i="16" s="1"/>
  <c r="D44" i="16"/>
  <c r="D82" i="16" s="1"/>
  <c r="D43" i="16"/>
  <c r="D81" i="16" s="1"/>
  <c r="D42" i="16"/>
  <c r="D80" i="16" s="1"/>
  <c r="D41" i="16"/>
  <c r="D79" i="16" s="1"/>
  <c r="D31" i="16"/>
  <c r="D30" i="16"/>
  <c r="BK14" i="16"/>
  <c r="D14" i="16" s="1"/>
  <c r="H2" i="17"/>
  <c r="AL6" i="17"/>
  <c r="AL7" i="17"/>
  <c r="BM10" i="17"/>
  <c r="BG14" i="17"/>
  <c r="CG14" i="17" s="1"/>
  <c r="I12" i="17"/>
  <c r="BG15" i="17"/>
  <c r="CH15" i="17"/>
  <c r="DK12" i="17"/>
  <c r="I13" i="17"/>
  <c r="BG16" i="17"/>
  <c r="BH16" i="17"/>
  <c r="CH16" i="17" s="1"/>
  <c r="DK13" i="17"/>
  <c r="I14" i="17"/>
  <c r="BG17" i="17"/>
  <c r="BH17" i="17"/>
  <c r="CH17" i="17" s="1"/>
  <c r="DK14" i="17"/>
  <c r="I15" i="17"/>
  <c r="BG18" i="17"/>
  <c r="BH18" i="17"/>
  <c r="CH18" i="17" s="1"/>
  <c r="DK15" i="17"/>
  <c r="I16" i="17"/>
  <c r="BG19" i="17"/>
  <c r="BH19" i="17"/>
  <c r="CH19" i="17" s="1"/>
  <c r="DK16" i="17"/>
  <c r="BG20" i="17"/>
  <c r="CG20" i="17" s="1"/>
  <c r="DK17" i="17"/>
  <c r="I18" i="17"/>
  <c r="BG21" i="17"/>
  <c r="BH21" i="17"/>
  <c r="CH21" i="17" s="1"/>
  <c r="DK18" i="17"/>
  <c r="I19" i="17"/>
  <c r="BG22" i="17"/>
  <c r="BH22" i="17"/>
  <c r="CH22" i="17" s="1"/>
  <c r="DK19" i="17"/>
  <c r="I20" i="17"/>
  <c r="BG23" i="17"/>
  <c r="BH23" i="17"/>
  <c r="CH23" i="17" s="1"/>
  <c r="DK20" i="17"/>
  <c r="BG24" i="17"/>
  <c r="BH24" i="17"/>
  <c r="CH24" i="17" s="1"/>
  <c r="DK21" i="17"/>
  <c r="I22" i="17"/>
  <c r="BG25" i="17"/>
  <c r="BH25" i="17"/>
  <c r="CH25" i="17" s="1"/>
  <c r="DK22" i="17"/>
  <c r="I23" i="17"/>
  <c r="BG26" i="17"/>
  <c r="BH26" i="17"/>
  <c r="CH26" i="17" s="1"/>
  <c r="DK23" i="17"/>
  <c r="I24" i="17"/>
  <c r="BG27" i="17"/>
  <c r="DK24" i="17"/>
  <c r="I25" i="17"/>
  <c r="BG28" i="17"/>
  <c r="BH28" i="17"/>
  <c r="CH28" i="17" s="1"/>
  <c r="DK25" i="17"/>
  <c r="I26" i="17"/>
  <c r="BG29" i="17"/>
  <c r="BH29" i="17"/>
  <c r="CH29" i="17" s="1"/>
  <c r="DK26" i="17"/>
  <c r="B27" i="17"/>
  <c r="I27" i="17"/>
  <c r="BG30" i="17"/>
  <c r="BH30" i="17"/>
  <c r="CH30" i="17" s="1"/>
  <c r="DK27" i="17"/>
  <c r="I28" i="17"/>
  <c r="BG31" i="17"/>
  <c r="BH31" i="17"/>
  <c r="CH31" i="17" s="1"/>
  <c r="DK28" i="17"/>
  <c r="K31" i="17"/>
  <c r="K33" i="17"/>
  <c r="T57" i="17"/>
  <c r="X57" i="17"/>
  <c r="AA57" i="17"/>
  <c r="AF57" i="17"/>
  <c r="T78" i="17"/>
  <c r="X78" i="17"/>
  <c r="AA78" i="17"/>
  <c r="AF78" i="17"/>
  <c r="I79" i="17"/>
  <c r="J80" i="17"/>
  <c r="J81" i="17"/>
  <c r="J82" i="17"/>
  <c r="J83" i="17"/>
  <c r="J84" i="17"/>
  <c r="I85" i="17"/>
  <c r="J86" i="17"/>
  <c r="J87" i="17"/>
  <c r="I88" i="17"/>
  <c r="J89" i="17"/>
  <c r="J90" i="17"/>
  <c r="J91" i="17"/>
  <c r="I95" i="17"/>
  <c r="AM36" i="17"/>
  <c r="AM57" i="17" s="1"/>
  <c r="AQ36" i="17"/>
  <c r="AQ57" i="17" s="1"/>
  <c r="AT36" i="17"/>
  <c r="AT78" i="17" s="1"/>
  <c r="AY36" i="17"/>
  <c r="AY57" i="17" s="1"/>
  <c r="AB97" i="17"/>
  <c r="AC98" i="17"/>
  <c r="DK112" i="17"/>
  <c r="AI124" i="17"/>
  <c r="L129" i="17"/>
  <c r="L131" i="17"/>
  <c r="AI131" i="17"/>
  <c r="I133" i="17"/>
  <c r="AG133" i="17" s="1"/>
  <c r="U133" i="17"/>
  <c r="AN133" i="17" s="1"/>
  <c r="I134" i="17"/>
  <c r="AG134" i="17" s="1"/>
  <c r="I135" i="17"/>
  <c r="AG135" i="17" s="1"/>
  <c r="I136" i="17"/>
  <c r="AG136" i="17" s="1"/>
  <c r="I137" i="17"/>
  <c r="AG137" i="17" s="1"/>
  <c r="I138" i="17"/>
  <c r="AG138" i="17" s="1"/>
  <c r="I139" i="17"/>
  <c r="AG139" i="17" s="1"/>
  <c r="I140" i="17"/>
  <c r="AG140" i="17" s="1"/>
  <c r="I141" i="17"/>
  <c r="AG141" i="17" s="1"/>
  <c r="I142" i="17"/>
  <c r="AG142" i="17" s="1"/>
  <c r="I143" i="17"/>
  <c r="AG143" i="17" s="1"/>
  <c r="AV143" i="17"/>
  <c r="I145" i="17"/>
  <c r="AG145" i="17" s="1"/>
  <c r="AC147" i="17"/>
  <c r="C153" i="17"/>
  <c r="K153" i="17" s="1"/>
  <c r="AD166" i="17"/>
  <c r="AI166" i="17"/>
  <c r="AN166" i="17"/>
  <c r="AS166" i="17"/>
  <c r="L171" i="17"/>
  <c r="L174" i="17"/>
  <c r="T198" i="17"/>
  <c r="T219" i="17" s="1"/>
  <c r="X198" i="17"/>
  <c r="X219" i="17" s="1"/>
  <c r="DX177" i="17"/>
  <c r="EB177" i="17"/>
  <c r="EM177" i="17"/>
  <c r="EO177" i="17"/>
  <c r="EQ177" i="17"/>
  <c r="AI174" i="17"/>
  <c r="AW177" i="17"/>
  <c r="AW198" i="17" s="1"/>
  <c r="AW219" i="17" s="1"/>
  <c r="DX196" i="17"/>
  <c r="EB196" i="17"/>
  <c r="EM196" i="17"/>
  <c r="EO196" i="17"/>
  <c r="EQ196" i="17"/>
  <c r="AS221" i="17"/>
  <c r="AW221" i="17"/>
  <c r="BA221" i="17"/>
  <c r="AS222" i="17"/>
  <c r="AW222" i="17"/>
  <c r="BA222" i="17"/>
  <c r="AS223" i="17"/>
  <c r="AW223" i="17"/>
  <c r="BA223" i="17"/>
  <c r="AS224" i="17"/>
  <c r="AW224" i="17"/>
  <c r="BA224" i="17"/>
  <c r="AS225" i="17"/>
  <c r="AW225" i="17"/>
  <c r="BA225" i="17"/>
  <c r="AS227" i="17"/>
  <c r="AW227" i="17"/>
  <c r="BA227" i="17"/>
  <c r="AS228" i="17"/>
  <c r="AW228" i="17"/>
  <c r="BA228" i="17"/>
  <c r="AS230" i="17"/>
  <c r="AW230" i="17"/>
  <c r="BA230" i="17"/>
  <c r="AS231" i="17"/>
  <c r="AW231" i="17"/>
  <c r="BA231" i="17"/>
  <c r="AS232" i="17"/>
  <c r="AW232" i="17"/>
  <c r="BA232" i="17"/>
  <c r="AG238" i="17"/>
  <c r="AH239" i="17"/>
  <c r="I243" i="17"/>
  <c r="C245" i="17"/>
  <c r="J245" i="17" s="1"/>
  <c r="AA248" i="17"/>
  <c r="AA249" i="17"/>
  <c r="AA250" i="17"/>
  <c r="AA251" i="17"/>
  <c r="AA252" i="17"/>
  <c r="AA253" i="17"/>
  <c r="AA254" i="17"/>
  <c r="AA255" i="17"/>
  <c r="AZ248" i="17"/>
  <c r="F89" i="5"/>
  <c r="D34" i="16"/>
  <c r="D33" i="16"/>
  <c r="D32" i="16"/>
  <c r="BA22" i="16"/>
  <c r="AF22" i="16" s="1"/>
  <c r="BA21" i="16"/>
  <c r="AF21" i="16" s="1"/>
  <c r="BA19" i="16"/>
  <c r="AF19" i="16" s="1"/>
  <c r="Y16" i="16"/>
  <c r="T16" i="16"/>
  <c r="O16" i="16"/>
  <c r="I5" i="13"/>
  <c r="O7" i="16"/>
  <c r="C18" i="14"/>
  <c r="J18" i="14"/>
  <c r="Y18" i="14"/>
  <c r="AQ18" i="14"/>
  <c r="C31" i="14"/>
  <c r="J31" i="14"/>
  <c r="Y31" i="14"/>
  <c r="AQ31" i="14"/>
  <c r="C32" i="14"/>
  <c r="J32" i="14"/>
  <c r="Y32" i="14"/>
  <c r="AQ32" i="14"/>
  <c r="C33" i="14"/>
  <c r="J33" i="14"/>
  <c r="Y33" i="14"/>
  <c r="AQ33" i="14"/>
  <c r="C34" i="14"/>
  <c r="J34" i="14"/>
  <c r="Y34" i="14"/>
  <c r="AQ34" i="14"/>
  <c r="C35" i="14"/>
  <c r="J35" i="14"/>
  <c r="Y35" i="14"/>
  <c r="AQ35" i="14"/>
  <c r="C36" i="14"/>
  <c r="J36" i="14"/>
  <c r="Y36" i="14"/>
  <c r="AQ36" i="14"/>
  <c r="C37" i="14"/>
  <c r="J37" i="14"/>
  <c r="Y37" i="14"/>
  <c r="AQ37" i="14"/>
  <c r="C38" i="14"/>
  <c r="J38" i="14"/>
  <c r="Y38" i="14"/>
  <c r="AQ38" i="14"/>
  <c r="C39" i="14"/>
  <c r="J39" i="14"/>
  <c r="Y39" i="14"/>
  <c r="AQ39" i="14"/>
  <c r="C40" i="14"/>
  <c r="J40" i="14"/>
  <c r="Y40" i="14"/>
  <c r="AQ40" i="14"/>
  <c r="C41" i="14"/>
  <c r="J41" i="14"/>
  <c r="Y41" i="14"/>
  <c r="AQ41" i="14"/>
  <c r="O7" i="12"/>
  <c r="D14" i="12"/>
  <c r="D19" i="12"/>
  <c r="D20" i="12"/>
  <c r="D21" i="12"/>
  <c r="E21" i="12"/>
  <c r="D22" i="12"/>
  <c r="E22" i="12"/>
  <c r="D23" i="12"/>
  <c r="E23" i="12"/>
  <c r="D24" i="12"/>
  <c r="E24" i="12"/>
  <c r="D27" i="12"/>
  <c r="H2" i="13"/>
  <c r="AK5" i="13"/>
  <c r="AK6" i="13"/>
  <c r="K10" i="13"/>
  <c r="K14" i="13"/>
  <c r="AO14" i="13"/>
  <c r="BJ16" i="13"/>
  <c r="CD16" i="13"/>
  <c r="CI16" i="13"/>
  <c r="AM17" i="13"/>
  <c r="BS17" i="13"/>
  <c r="AM18" i="13"/>
  <c r="BS18" i="13"/>
  <c r="I19" i="13"/>
  <c r="AM19" i="13" s="1"/>
  <c r="AN19" i="13"/>
  <c r="BU19" i="13"/>
  <c r="I20" i="13"/>
  <c r="AM20" i="13" s="1"/>
  <c r="AN20" i="13"/>
  <c r="BU20" i="13"/>
  <c r="I21" i="13"/>
  <c r="AM21" i="13" s="1"/>
  <c r="AN21" i="13"/>
  <c r="BU21" i="13"/>
  <c r="I22" i="13"/>
  <c r="AM22" i="13" s="1"/>
  <c r="AN22" i="13"/>
  <c r="BU22" i="13"/>
  <c r="AM25" i="13"/>
  <c r="BS25" i="13"/>
  <c r="AJ27" i="13"/>
  <c r="AN28" i="13"/>
  <c r="H35" i="13"/>
  <c r="O35" i="13"/>
  <c r="AD35" i="13"/>
  <c r="BA35" i="13"/>
  <c r="H2" i="1"/>
  <c r="A3" i="1"/>
  <c r="H4" i="1"/>
  <c r="I8" i="1"/>
  <c r="AG8" i="1"/>
  <c r="AH59" i="19"/>
  <c r="AH57" i="19"/>
  <c r="AH58" i="19"/>
  <c r="BQ144" i="19"/>
  <c r="O39" i="18" s="1"/>
  <c r="BV145" i="19"/>
  <c r="T40" i="18" s="1"/>
  <c r="T99" i="18" s="1"/>
  <c r="BQ145" i="19"/>
  <c r="O40" i="18" s="1"/>
  <c r="AF67" i="19"/>
  <c r="BV144" i="19"/>
  <c r="T39" i="18" s="1"/>
  <c r="T98" i="18" s="1"/>
  <c r="K171" i="17"/>
  <c r="K174" i="17"/>
  <c r="C8" i="19"/>
  <c r="K8" i="19" s="1"/>
  <c r="BV59" i="19"/>
  <c r="BV68" i="19" s="1"/>
  <c r="T31" i="18" s="1"/>
  <c r="T84" i="18" s="1"/>
  <c r="C84" i="19"/>
  <c r="C131" i="19" s="1"/>
  <c r="D133" i="19" s="1"/>
  <c r="K133" i="19" s="1"/>
  <c r="C16" i="19"/>
  <c r="K16" i="19" s="1"/>
  <c r="BN103" i="19"/>
  <c r="AP144" i="19" s="1"/>
  <c r="BT123" i="19"/>
  <c r="AU145" i="19" s="1"/>
  <c r="BN123" i="19"/>
  <c r="AP145" i="19" s="1"/>
  <c r="I82" i="17" l="1"/>
  <c r="AH228" i="17"/>
  <c r="I70" i="17"/>
  <c r="BY10" i="17"/>
  <c r="AU53" i="17"/>
  <c r="DS64" i="17" s="1"/>
  <c r="I202" i="17"/>
  <c r="AU79" i="17"/>
  <c r="BA194" i="17"/>
  <c r="DS197" i="17" s="1"/>
  <c r="EV197" i="17" s="1"/>
  <c r="I224" i="17"/>
  <c r="AW215" i="17"/>
  <c r="EB197" i="17" s="1"/>
  <c r="AM79" i="17"/>
  <c r="AW229" i="17"/>
  <c r="I200" i="17"/>
  <c r="I60" i="17"/>
  <c r="AU88" i="17"/>
  <c r="AY79" i="17"/>
  <c r="BA220" i="17"/>
  <c r="AH179" i="17"/>
  <c r="I221" i="17"/>
  <c r="AS229" i="17"/>
  <c r="AH222" i="17"/>
  <c r="AM85" i="17"/>
  <c r="Y46" i="16"/>
  <c r="Y84" i="16" s="1"/>
  <c r="AW220" i="17"/>
  <c r="BA229" i="17"/>
  <c r="I227" i="17"/>
  <c r="O84" i="16"/>
  <c r="I63" i="17"/>
  <c r="Y45" i="16"/>
  <c r="Y83" i="16" s="1"/>
  <c r="AY88" i="17"/>
  <c r="AY85" i="17"/>
  <c r="AW226" i="17"/>
  <c r="AU74" i="17"/>
  <c r="DX64" i="17" s="1"/>
  <c r="BA226" i="17"/>
  <c r="Y44" i="16"/>
  <c r="Y82" i="16" s="1"/>
  <c r="I201" i="17"/>
  <c r="I87" i="17"/>
  <c r="O82" i="16"/>
  <c r="AS226" i="17"/>
  <c r="AH224" i="17"/>
  <c r="AH182" i="17"/>
  <c r="I203" i="17"/>
  <c r="I80" i="17"/>
  <c r="AH180" i="17"/>
  <c r="AH201" i="17"/>
  <c r="BA215" i="17"/>
  <c r="EF197" i="17" s="1"/>
  <c r="AH210" i="17"/>
  <c r="AS194" i="17"/>
  <c r="DK197" i="17" s="1"/>
  <c r="ET197" i="17" s="1"/>
  <c r="AQ74" i="17"/>
  <c r="DX63" i="17" s="1"/>
  <c r="AY74" i="17"/>
  <c r="DX65" i="17" s="1"/>
  <c r="AM53" i="17"/>
  <c r="DS62" i="17" s="1"/>
  <c r="AM74" i="17"/>
  <c r="DX62" i="17" s="1"/>
  <c r="AU25" i="13"/>
  <c r="BJ25" i="13" s="1"/>
  <c r="BJ18" i="13"/>
  <c r="T21" i="12"/>
  <c r="CI18" i="13"/>
  <c r="AM26" i="13"/>
  <c r="O14" i="12" s="1"/>
  <c r="AF25" i="13"/>
  <c r="V18" i="13"/>
  <c r="CD20" i="13"/>
  <c r="O22" i="12" s="1"/>
  <c r="AD22" i="12" s="1"/>
  <c r="AF20" i="13"/>
  <c r="CD22" i="13"/>
  <c r="O24" i="12" s="1"/>
  <c r="AF22" i="13"/>
  <c r="CD21" i="13"/>
  <c r="O23" i="12" s="1"/>
  <c r="AD23" i="12" s="1"/>
  <c r="AF21" i="13"/>
  <c r="CD19" i="13"/>
  <c r="O21" i="12" s="1"/>
  <c r="AF19" i="13"/>
  <c r="C11" i="13"/>
  <c r="J10" i="13" s="1"/>
  <c r="Y47" i="16"/>
  <c r="Y85" i="16" s="1"/>
  <c r="T85" i="16"/>
  <c r="C10" i="19"/>
  <c r="K10" i="19" s="1"/>
  <c r="C64" i="19"/>
  <c r="J64" i="19" s="1"/>
  <c r="K66" i="19" s="1"/>
  <c r="D64" i="18"/>
  <c r="C9" i="19"/>
  <c r="K9" i="19" s="1"/>
  <c r="C15" i="19"/>
  <c r="K15" i="19" s="1"/>
  <c r="C74" i="19"/>
  <c r="J74" i="19" s="1"/>
  <c r="L196" i="19" s="1"/>
  <c r="I51" i="19"/>
  <c r="Y43" i="16"/>
  <c r="Y81" i="16" s="1"/>
  <c r="AA221" i="19"/>
  <c r="BV58" i="19"/>
  <c r="BQ68" i="19"/>
  <c r="O31" i="18" s="1"/>
  <c r="O84" i="18" s="1"/>
  <c r="BQ67" i="19"/>
  <c r="O30" i="18" s="1"/>
  <c r="O83" i="18" s="1"/>
  <c r="BV65" i="19"/>
  <c r="T28" i="18" s="1"/>
  <c r="T81" i="18" s="1"/>
  <c r="CA61" i="19"/>
  <c r="AZ222" i="19"/>
  <c r="AM78" i="17"/>
  <c r="AW194" i="17"/>
  <c r="DO197" i="17" s="1"/>
  <c r="EU197" i="17" s="1"/>
  <c r="AQ53" i="17"/>
  <c r="DS63" i="17" s="1"/>
  <c r="I204" i="17"/>
  <c r="AS198" i="17"/>
  <c r="AS219" i="17" s="1"/>
  <c r="AM88" i="17"/>
  <c r="I62" i="17"/>
  <c r="AH225" i="17"/>
  <c r="AH204" i="17"/>
  <c r="AQ79" i="17"/>
  <c r="I211" i="17"/>
  <c r="AH202" i="17"/>
  <c r="I223" i="17"/>
  <c r="AH186" i="17"/>
  <c r="AH232" i="17"/>
  <c r="ET21" i="17"/>
  <c r="AH185" i="17"/>
  <c r="AT57" i="17"/>
  <c r="AH189" i="17"/>
  <c r="I206" i="17"/>
  <c r="I210" i="17"/>
  <c r="I231" i="17"/>
  <c r="I232" i="17"/>
  <c r="AH207" i="17"/>
  <c r="AH227" i="17"/>
  <c r="AH223" i="17"/>
  <c r="I207" i="17"/>
  <c r="AQ78" i="17"/>
  <c r="AQ88" i="17"/>
  <c r="Y48" i="16"/>
  <c r="Y86" i="16" s="1"/>
  <c r="I90" i="17"/>
  <c r="D270" i="17"/>
  <c r="AI270" i="17" s="1"/>
  <c r="C262" i="17"/>
  <c r="J262" i="17" s="1"/>
  <c r="I65" i="17"/>
  <c r="I260" i="17"/>
  <c r="C264" i="17"/>
  <c r="K264" i="17" s="1"/>
  <c r="AU85" i="17"/>
  <c r="AQ85" i="17"/>
  <c r="Y41" i="16"/>
  <c r="Y79" i="16" s="1"/>
  <c r="C266" i="17"/>
  <c r="K266" i="17" s="1"/>
  <c r="C268" i="17"/>
  <c r="J268" i="17" s="1"/>
  <c r="U147" i="17"/>
  <c r="EF117" i="17" s="1"/>
  <c r="AH230" i="17"/>
  <c r="C106" i="17"/>
  <c r="J106" i="17" s="1"/>
  <c r="AH131" i="17" s="1"/>
  <c r="I230" i="17"/>
  <c r="AS220" i="17"/>
  <c r="I125" i="17"/>
  <c r="J125" i="17" s="1"/>
  <c r="Y42" i="16"/>
  <c r="Y80" i="16" s="1"/>
  <c r="AS215" i="17"/>
  <c r="DX197" i="17" s="1"/>
  <c r="AY53" i="17"/>
  <c r="DS65" i="17" s="1"/>
  <c r="AH209" i="17"/>
  <c r="Y49" i="16"/>
  <c r="Y87" i="16" s="1"/>
  <c r="O52" i="16"/>
  <c r="O21" i="20" s="1"/>
  <c r="EA122" i="17"/>
  <c r="T52" i="16"/>
  <c r="T21" i="20" s="1"/>
  <c r="H6" i="1"/>
  <c r="D6" i="1"/>
  <c r="AF6" i="1" s="1"/>
  <c r="J8" i="1"/>
  <c r="EY13" i="17"/>
  <c r="EK39" i="19" s="1"/>
  <c r="AU182" i="19"/>
  <c r="AH188" i="17"/>
  <c r="T82" i="16"/>
  <c r="DQ125" i="17"/>
  <c r="AH183" i="17"/>
  <c r="I68" i="17"/>
  <c r="AH190" i="17"/>
  <c r="AH221" i="17"/>
  <c r="AY78" i="17"/>
  <c r="AX166" i="17"/>
  <c r="BJ30" i="16" s="1"/>
  <c r="O30" i="16" s="1"/>
  <c r="I26" i="13"/>
  <c r="K26" i="13" s="1"/>
  <c r="Q18" i="13"/>
  <c r="I8" i="13"/>
  <c r="D14" i="13"/>
  <c r="AN14" i="13" s="1"/>
  <c r="AZ42" i="19"/>
  <c r="AA164" i="19"/>
  <c r="AZ166" i="19" s="1"/>
  <c r="ET12" i="17"/>
  <c r="EF38" i="19" s="1"/>
  <c r="AZ226" i="19"/>
  <c r="EY20" i="17"/>
  <c r="C108" i="19"/>
  <c r="D123" i="19" s="1"/>
  <c r="DG24" i="19"/>
  <c r="C88" i="19"/>
  <c r="D90" i="19" s="1"/>
  <c r="J90" i="19" s="1"/>
  <c r="C137" i="19"/>
  <c r="J137" i="19" s="1"/>
  <c r="EY19" i="17"/>
  <c r="AM69" i="19"/>
  <c r="ET11" i="17"/>
  <c r="EF37" i="19" s="1"/>
  <c r="EY21" i="17"/>
  <c r="ET14" i="17"/>
  <c r="EF40" i="19" s="1"/>
  <c r="BI223" i="19"/>
  <c r="I84" i="19"/>
  <c r="C157" i="19"/>
  <c r="I157" i="19" s="1"/>
  <c r="C11" i="19"/>
  <c r="K11" i="19" s="1"/>
  <c r="O22" i="20"/>
  <c r="O89" i="18"/>
  <c r="J131" i="19"/>
  <c r="CG57" i="19"/>
  <c r="BQ57" i="19" s="1"/>
  <c r="BQ61" i="19" s="1"/>
  <c r="DG20" i="19"/>
  <c r="C17" i="19"/>
  <c r="K17" i="19" s="1"/>
  <c r="CA223" i="19"/>
  <c r="CA220" i="19"/>
  <c r="V222" i="19"/>
  <c r="BV221" i="19" s="1"/>
  <c r="T63" i="18" s="1"/>
  <c r="DB20" i="19"/>
  <c r="BQ24" i="19"/>
  <c r="DB19" i="19"/>
  <c r="DB24" i="19"/>
  <c r="BQ19" i="19"/>
  <c r="BV20" i="19"/>
  <c r="DG23" i="19"/>
  <c r="O99" i="18"/>
  <c r="Y40" i="18"/>
  <c r="Y99" i="18" s="1"/>
  <c r="T65" i="18"/>
  <c r="T91" i="18" s="1"/>
  <c r="BV23" i="19"/>
  <c r="BV24" i="19"/>
  <c r="DG19" i="19"/>
  <c r="AP182" i="19"/>
  <c r="AA224" i="19"/>
  <c r="I227" i="19"/>
  <c r="CA180" i="19"/>
  <c r="AZ144" i="19"/>
  <c r="CA145" i="19"/>
  <c r="CA146" i="19"/>
  <c r="T24" i="12"/>
  <c r="CM61" i="19"/>
  <c r="DT205" i="19" s="1"/>
  <c r="CV205" i="19" s="1"/>
  <c r="CP205" i="19" s="1"/>
  <c r="W205" i="19" s="1"/>
  <c r="BV205" i="19" s="1"/>
  <c r="T61" i="18" s="1"/>
  <c r="AZ145" i="19"/>
  <c r="I165" i="19"/>
  <c r="CA144" i="19"/>
  <c r="BQ20" i="19"/>
  <c r="AC148" i="19"/>
  <c r="Y104" i="18" s="1"/>
  <c r="BQ23" i="19"/>
  <c r="DB23" i="19"/>
  <c r="BV148" i="19"/>
  <c r="T43" i="18" s="1"/>
  <c r="T28" i="20" s="1"/>
  <c r="AA180" i="19"/>
  <c r="AZ182" i="19" s="1"/>
  <c r="I181" i="19"/>
  <c r="CH213" i="19"/>
  <c r="O100" i="18"/>
  <c r="Y41" i="18"/>
  <c r="Y100" i="18" s="1"/>
  <c r="AZ146" i="19"/>
  <c r="AP148" i="19"/>
  <c r="AU148" i="19"/>
  <c r="AU150" i="19" s="1"/>
  <c r="DK181" i="17"/>
  <c r="O98" i="18"/>
  <c r="Y39" i="18"/>
  <c r="O48" i="18"/>
  <c r="CA164" i="19"/>
  <c r="AP166" i="19"/>
  <c r="AA223" i="19"/>
  <c r="BQ222" i="19"/>
  <c r="AU166" i="19"/>
  <c r="Y58" i="16"/>
  <c r="Y90" i="16" s="1"/>
  <c r="ET13" i="17"/>
  <c r="EY14" i="17"/>
  <c r="EK40" i="19" s="1"/>
  <c r="ET19" i="17"/>
  <c r="EY12" i="17"/>
  <c r="EK38" i="19" s="1"/>
  <c r="EY11" i="17"/>
  <c r="ET20" i="17"/>
  <c r="T53" i="18"/>
  <c r="BU213" i="19"/>
  <c r="Q226" i="19"/>
  <c r="BQ221" i="19"/>
  <c r="BQ148" i="19"/>
  <c r="T62" i="18"/>
  <c r="U140" i="17" l="1"/>
  <c r="U135" i="17"/>
  <c r="BW16" i="17"/>
  <c r="BW24" i="17"/>
  <c r="BW30" i="17"/>
  <c r="U136" i="17"/>
  <c r="BW29" i="17"/>
  <c r="BW19" i="17"/>
  <c r="BW28" i="17"/>
  <c r="BW18" i="17"/>
  <c r="BW17" i="17"/>
  <c r="BW31" i="17"/>
  <c r="U142" i="17"/>
  <c r="BW27" i="17"/>
  <c r="U138" i="17"/>
  <c r="U134" i="17"/>
  <c r="BW22" i="17"/>
  <c r="U139" i="17"/>
  <c r="BW20" i="17"/>
  <c r="BW15" i="17"/>
  <c r="BW26" i="17"/>
  <c r="BW25" i="17"/>
  <c r="BW14" i="17"/>
  <c r="U141" i="17"/>
  <c r="DQ137" i="17"/>
  <c r="BW13" i="17"/>
  <c r="U143" i="17"/>
  <c r="BW21" i="17"/>
  <c r="U137" i="17"/>
  <c r="BW23" i="17"/>
  <c r="EC64" i="17"/>
  <c r="EC62" i="17"/>
  <c r="AU95" i="17"/>
  <c r="EM197" i="17"/>
  <c r="EQ197" i="17"/>
  <c r="BA236" i="17"/>
  <c r="EO197" i="17"/>
  <c r="AM95" i="17"/>
  <c r="K129" i="17"/>
  <c r="K131" i="17"/>
  <c r="AW236" i="17"/>
  <c r="T20" i="12"/>
  <c r="AD21" i="12"/>
  <c r="AD24" i="12"/>
  <c r="AF18" i="13"/>
  <c r="BJ27" i="13"/>
  <c r="BE27" i="13"/>
  <c r="AZ27" i="13"/>
  <c r="AU27" i="13"/>
  <c r="BP14" i="16"/>
  <c r="V17" i="13"/>
  <c r="CI17" i="13" s="1"/>
  <c r="Q17" i="13"/>
  <c r="CD18" i="13"/>
  <c r="O20" i="12"/>
  <c r="K69" i="19"/>
  <c r="L266" i="17"/>
  <c r="D161" i="19"/>
  <c r="AI161" i="19" s="1"/>
  <c r="D8" i="1"/>
  <c r="AW147" i="17"/>
  <c r="EC63" i="17"/>
  <c r="BJ31" i="18"/>
  <c r="BQ66" i="19"/>
  <c r="BV57" i="19"/>
  <c r="CA66" i="19"/>
  <c r="BV61" i="19"/>
  <c r="CS59" i="19" s="1"/>
  <c r="CS58" i="19"/>
  <c r="BV67" i="19"/>
  <c r="T30" i="18" s="1"/>
  <c r="T83" i="18" s="1"/>
  <c r="FD20" i="17"/>
  <c r="BV225" i="19"/>
  <c r="BU214" i="19" s="1"/>
  <c r="AH184" i="19"/>
  <c r="AJ184" i="19" s="1"/>
  <c r="EQ24" i="19"/>
  <c r="V226" i="19"/>
  <c r="AU228" i="19" s="1"/>
  <c r="C173" i="19"/>
  <c r="C189" i="19" s="1"/>
  <c r="J88" i="19"/>
  <c r="FZ274" i="17"/>
  <c r="FT274" i="17" s="1"/>
  <c r="X38" i="17"/>
  <c r="FD21" i="17"/>
  <c r="AQ95" i="17"/>
  <c r="I75" i="17"/>
  <c r="AY95" i="17"/>
  <c r="EC65" i="17"/>
  <c r="T30" i="16"/>
  <c r="Y52" i="16"/>
  <c r="AD21" i="20"/>
  <c r="AS236" i="17"/>
  <c r="DX67" i="17"/>
  <c r="Y65" i="18"/>
  <c r="Y91" i="18" s="1"/>
  <c r="ET16" i="17"/>
  <c r="D128" i="19"/>
  <c r="AH8" i="1"/>
  <c r="K149" i="19" s="1"/>
  <c r="C10" i="1"/>
  <c r="D110" i="19"/>
  <c r="J110" i="19" s="1"/>
  <c r="FD11" i="17"/>
  <c r="EP37" i="19" s="1"/>
  <c r="EF137" i="17"/>
  <c r="EH282" i="17"/>
  <c r="DS67" i="17"/>
  <c r="J108" i="19"/>
  <c r="CL20" i="19"/>
  <c r="CP38" i="19" s="1"/>
  <c r="DV23" i="19"/>
  <c r="CU39" i="19" s="1"/>
  <c r="DT39" i="19" s="1"/>
  <c r="V39" i="19" s="1"/>
  <c r="DV24" i="19"/>
  <c r="CU40" i="19" s="1"/>
  <c r="DT40" i="19" s="1"/>
  <c r="V40" i="19" s="1"/>
  <c r="EY23" i="17"/>
  <c r="DV20" i="19"/>
  <c r="CU38" i="19" s="1"/>
  <c r="DT38" i="19" s="1"/>
  <c r="V38" i="19" s="1"/>
  <c r="DV19" i="19"/>
  <c r="CU37" i="19" s="1"/>
  <c r="T102" i="18"/>
  <c r="I62" i="19"/>
  <c r="K62" i="19" s="1"/>
  <c r="CL23" i="19"/>
  <c r="CP39" i="19" s="1"/>
  <c r="EL19" i="19"/>
  <c r="CL19" i="19"/>
  <c r="CP37" i="19" s="1"/>
  <c r="DO37" i="19" s="1"/>
  <c r="Q37" i="19" s="1"/>
  <c r="CL24" i="19"/>
  <c r="CP40" i="19" s="1"/>
  <c r="D141" i="19"/>
  <c r="AI141" i="19" s="1"/>
  <c r="C139" i="19"/>
  <c r="J139" i="19" s="1"/>
  <c r="C141" i="19"/>
  <c r="J141" i="19" s="1"/>
  <c r="EQ20" i="19"/>
  <c r="C159" i="19"/>
  <c r="J159" i="19" s="1"/>
  <c r="C161" i="19"/>
  <c r="J161" i="19" s="1"/>
  <c r="AA222" i="19"/>
  <c r="FD14" i="17"/>
  <c r="EP40" i="19" s="1"/>
  <c r="FD12" i="17"/>
  <c r="EP38" i="19" s="1"/>
  <c r="EQ19" i="19"/>
  <c r="EL24" i="19"/>
  <c r="EQ23" i="19"/>
  <c r="DN205" i="19"/>
  <c r="AH183" i="19"/>
  <c r="AH167" i="19"/>
  <c r="EL23" i="19"/>
  <c r="EL20" i="19"/>
  <c r="AZ148" i="19"/>
  <c r="AZ150" i="19" s="1"/>
  <c r="AP150" i="19"/>
  <c r="AH151" i="19" s="1"/>
  <c r="T88" i="18"/>
  <c r="Y61" i="18"/>
  <c r="Y88" i="18" s="1"/>
  <c r="O44" i="18"/>
  <c r="Y98" i="18"/>
  <c r="O105" i="18" s="1"/>
  <c r="O64" i="18"/>
  <c r="CA222" i="19"/>
  <c r="AH168" i="19"/>
  <c r="AJ168" i="19" s="1"/>
  <c r="Y48" i="18"/>
  <c r="O85" i="18"/>
  <c r="CA148" i="19"/>
  <c r="O43" i="18"/>
  <c r="AP228" i="19"/>
  <c r="Y53" i="18"/>
  <c r="Y86" i="18" s="1"/>
  <c r="T86" i="18"/>
  <c r="EK37" i="19"/>
  <c r="EY16" i="17"/>
  <c r="EK42" i="19" s="1"/>
  <c r="FD19" i="17"/>
  <c r="ET23" i="17"/>
  <c r="FD13" i="17"/>
  <c r="EP39" i="19" s="1"/>
  <c r="EF39" i="19"/>
  <c r="T22" i="20"/>
  <c r="AD22" i="20" s="1"/>
  <c r="T89" i="18"/>
  <c r="Y62" i="18"/>
  <c r="Y89" i="18" s="1"/>
  <c r="O63" i="18"/>
  <c r="BQ225" i="19"/>
  <c r="CA221" i="19"/>
  <c r="EB19" i="17" l="1"/>
  <c r="DQ19" i="17"/>
  <c r="DZ19" i="17"/>
  <c r="DP19" i="17"/>
  <c r="DY19" i="17"/>
  <c r="DX19" i="17"/>
  <c r="DN19" i="17"/>
  <c r="DW19" i="17"/>
  <c r="DT19" i="17"/>
  <c r="DU19" i="17"/>
  <c r="ED19" i="17"/>
  <c r="EC19" i="17"/>
  <c r="DS19" i="17"/>
  <c r="DO19" i="17"/>
  <c r="DW16" i="17"/>
  <c r="DU16" i="17"/>
  <c r="DT16" i="17"/>
  <c r="EC16" i="17"/>
  <c r="DS16" i="17"/>
  <c r="DO16" i="17"/>
  <c r="EB16" i="17"/>
  <c r="DQ16" i="17"/>
  <c r="DY16" i="17"/>
  <c r="DZ16" i="17"/>
  <c r="DP16" i="17"/>
  <c r="DX16" i="17"/>
  <c r="DN16" i="17"/>
  <c r="ED16" i="17"/>
  <c r="DW25" i="17"/>
  <c r="DT25" i="17"/>
  <c r="DU25" i="17"/>
  <c r="EC25" i="17"/>
  <c r="DS25" i="17"/>
  <c r="EB25" i="17"/>
  <c r="DQ25" i="17"/>
  <c r="DO25" i="17"/>
  <c r="DZ25" i="17"/>
  <c r="DP25" i="17"/>
  <c r="DY25" i="17"/>
  <c r="DX25" i="17"/>
  <c r="DN25" i="17"/>
  <c r="ED25" i="17"/>
  <c r="DY26" i="17"/>
  <c r="DO26" i="17"/>
  <c r="DX26" i="17"/>
  <c r="DN26" i="17"/>
  <c r="DW26" i="17"/>
  <c r="DU26" i="17"/>
  <c r="DQ26" i="17"/>
  <c r="ED26" i="17"/>
  <c r="DT26" i="17"/>
  <c r="EB26" i="17"/>
  <c r="EC26" i="17"/>
  <c r="DS26" i="17"/>
  <c r="DZ26" i="17"/>
  <c r="DP26" i="17"/>
  <c r="ED20" i="17"/>
  <c r="DT20" i="17"/>
  <c r="DQ20" i="17"/>
  <c r="EC20" i="17"/>
  <c r="DS20" i="17"/>
  <c r="DZ20" i="17"/>
  <c r="DP20" i="17"/>
  <c r="DW20" i="17"/>
  <c r="DY20" i="17"/>
  <c r="DO20" i="17"/>
  <c r="DX20" i="17"/>
  <c r="DN20" i="17"/>
  <c r="DU20" i="17"/>
  <c r="EB20" i="17"/>
  <c r="DY22" i="17"/>
  <c r="DO22" i="17"/>
  <c r="DX22" i="17"/>
  <c r="DN22" i="17"/>
  <c r="DW22" i="17"/>
  <c r="DU22" i="17"/>
  <c r="DQ22" i="17"/>
  <c r="ED22" i="17"/>
  <c r="DT22" i="17"/>
  <c r="EC22" i="17"/>
  <c r="DS22" i="17"/>
  <c r="EB22" i="17"/>
  <c r="DZ22" i="17"/>
  <c r="DP22" i="17"/>
  <c r="ED24" i="17"/>
  <c r="DT24" i="17"/>
  <c r="EC24" i="17"/>
  <c r="DS24" i="17"/>
  <c r="DQ24" i="17"/>
  <c r="DZ24" i="17"/>
  <c r="DP24" i="17"/>
  <c r="DY24" i="17"/>
  <c r="DO24" i="17"/>
  <c r="DX24" i="17"/>
  <c r="DN24" i="17"/>
  <c r="DW24" i="17"/>
  <c r="DU24" i="17"/>
  <c r="EB24" i="17"/>
  <c r="EB23" i="17"/>
  <c r="DQ23" i="17"/>
  <c r="DY23" i="17"/>
  <c r="DZ23" i="17"/>
  <c r="DP23" i="17"/>
  <c r="DX23" i="17"/>
  <c r="DN23" i="17"/>
  <c r="ED23" i="17"/>
  <c r="DW23" i="17"/>
  <c r="DT23" i="17"/>
  <c r="DU23" i="17"/>
  <c r="EC23" i="17"/>
  <c r="DS23" i="17"/>
  <c r="DO23" i="17"/>
  <c r="DY27" i="17"/>
  <c r="DO27" i="17"/>
  <c r="DX27" i="17"/>
  <c r="DP27" i="17"/>
  <c r="DU27" i="17"/>
  <c r="DN27" i="17"/>
  <c r="ED27" i="17"/>
  <c r="DT27" i="17"/>
  <c r="DQ27" i="17"/>
  <c r="EC27" i="17"/>
  <c r="DS27" i="17"/>
  <c r="EB27" i="17"/>
  <c r="DZ27" i="17"/>
  <c r="DW27" i="17"/>
  <c r="DY18" i="17"/>
  <c r="DO18" i="17"/>
  <c r="DW18" i="17"/>
  <c r="DX18" i="17"/>
  <c r="DN18" i="17"/>
  <c r="DU18" i="17"/>
  <c r="EB18" i="17"/>
  <c r="ED18" i="17"/>
  <c r="DT18" i="17"/>
  <c r="EC18" i="17"/>
  <c r="DS18" i="17"/>
  <c r="DQ18" i="17"/>
  <c r="DZ18" i="17"/>
  <c r="DP18" i="17"/>
  <c r="DY12" i="17"/>
  <c r="DO12" i="17"/>
  <c r="DW12" i="17"/>
  <c r="DX12" i="17"/>
  <c r="DN12" i="17"/>
  <c r="DU12" i="17"/>
  <c r="ED12" i="17"/>
  <c r="DT12" i="17"/>
  <c r="EB12" i="17"/>
  <c r="EC12" i="17"/>
  <c r="DS12" i="17"/>
  <c r="DQ12" i="17"/>
  <c r="DZ12" i="17"/>
  <c r="DP12" i="17"/>
  <c r="ED28" i="17"/>
  <c r="DT28" i="17"/>
  <c r="DP28" i="17"/>
  <c r="EB28" i="17"/>
  <c r="EC28" i="17"/>
  <c r="DS28" i="17"/>
  <c r="DO28" i="17"/>
  <c r="DZ28" i="17"/>
  <c r="DN28" i="17"/>
  <c r="DW28" i="17"/>
  <c r="DY28" i="17"/>
  <c r="DX28" i="17"/>
  <c r="DU28" i="17"/>
  <c r="DQ28" i="17"/>
  <c r="DW21" i="17"/>
  <c r="ED21" i="17"/>
  <c r="DU21" i="17"/>
  <c r="DT21" i="17"/>
  <c r="EC21" i="17"/>
  <c r="DS21" i="17"/>
  <c r="EB21" i="17"/>
  <c r="DQ21" i="17"/>
  <c r="DY21" i="17"/>
  <c r="DZ21" i="17"/>
  <c r="DP21" i="17"/>
  <c r="DO21" i="17"/>
  <c r="DX21" i="17"/>
  <c r="DN21" i="17"/>
  <c r="ED14" i="17"/>
  <c r="DT14" i="17"/>
  <c r="EB14" i="17"/>
  <c r="EC14" i="17"/>
  <c r="DS14" i="17"/>
  <c r="DZ14" i="17"/>
  <c r="DP14" i="17"/>
  <c r="DY14" i="17"/>
  <c r="DO14" i="17"/>
  <c r="DW14" i="17"/>
  <c r="DX14" i="17"/>
  <c r="DN14" i="17"/>
  <c r="DU14" i="17"/>
  <c r="DQ14" i="17"/>
  <c r="EB13" i="17"/>
  <c r="DQ13" i="17"/>
  <c r="DZ13" i="17"/>
  <c r="DP13" i="17"/>
  <c r="DY13" i="17"/>
  <c r="DX13" i="17"/>
  <c r="DN13" i="17"/>
  <c r="DT13" i="17"/>
  <c r="DW13" i="17"/>
  <c r="DU13" i="17"/>
  <c r="ED13" i="17"/>
  <c r="EC13" i="17"/>
  <c r="DS13" i="17"/>
  <c r="DO13" i="17"/>
  <c r="T206" i="17"/>
  <c r="T49" i="17"/>
  <c r="X48" i="17"/>
  <c r="T204" i="17"/>
  <c r="T207" i="17"/>
  <c r="AB40" i="17"/>
  <c r="AB41" i="17"/>
  <c r="T200" i="17"/>
  <c r="AB59" i="17"/>
  <c r="AB179" i="17"/>
  <c r="T59" i="17"/>
  <c r="X179" i="17"/>
  <c r="AF59" i="17"/>
  <c r="X200" i="17"/>
  <c r="T60" i="17"/>
  <c r="T201" i="17"/>
  <c r="AB200" i="17"/>
  <c r="AF63" i="17"/>
  <c r="X44" i="17"/>
  <c r="T185" i="17"/>
  <c r="AB44" i="17"/>
  <c r="AB65" i="17"/>
  <c r="X65" i="17"/>
  <c r="AB60" i="17"/>
  <c r="AB206" i="17"/>
  <c r="AF65" i="17"/>
  <c r="X206" i="17"/>
  <c r="AB185" i="17"/>
  <c r="X180" i="17"/>
  <c r="AF44" i="17"/>
  <c r="X185" i="17"/>
  <c r="T44" i="17"/>
  <c r="T65" i="17"/>
  <c r="AB201" i="17"/>
  <c r="X201" i="17"/>
  <c r="AF39" i="17"/>
  <c r="X41" i="17"/>
  <c r="X60" i="17"/>
  <c r="T39" i="17"/>
  <c r="AB180" i="17"/>
  <c r="AB39" i="17"/>
  <c r="X39" i="17"/>
  <c r="T180" i="17"/>
  <c r="AF60" i="17"/>
  <c r="X203" i="17"/>
  <c r="X62" i="17"/>
  <c r="AF40" i="17"/>
  <c r="X61" i="17"/>
  <c r="AB61" i="17"/>
  <c r="AF62" i="17"/>
  <c r="T182" i="17"/>
  <c r="T41" i="17"/>
  <c r="T62" i="17"/>
  <c r="AB182" i="17"/>
  <c r="AB203" i="17"/>
  <c r="AB62" i="17"/>
  <c r="AF41" i="17"/>
  <c r="T203" i="17"/>
  <c r="X182" i="17"/>
  <c r="T61" i="17"/>
  <c r="T40" i="17"/>
  <c r="T189" i="17"/>
  <c r="AB189" i="17"/>
  <c r="T48" i="17"/>
  <c r="T69" i="17"/>
  <c r="X63" i="17"/>
  <c r="AB204" i="17"/>
  <c r="AB202" i="17"/>
  <c r="AB207" i="17"/>
  <c r="AF69" i="17"/>
  <c r="T42" i="17"/>
  <c r="AB181" i="17"/>
  <c r="X210" i="17"/>
  <c r="AB69" i="17"/>
  <c r="X204" i="17"/>
  <c r="AB210" i="17"/>
  <c r="T181" i="17"/>
  <c r="T210" i="17"/>
  <c r="X69" i="17"/>
  <c r="T183" i="17"/>
  <c r="AB183" i="17"/>
  <c r="X202" i="17"/>
  <c r="AB48" i="17"/>
  <c r="X207" i="17"/>
  <c r="AB42" i="17"/>
  <c r="AB63" i="17"/>
  <c r="AF48" i="17"/>
  <c r="AF42" i="17"/>
  <c r="X183" i="17"/>
  <c r="X181" i="17"/>
  <c r="AF61" i="17"/>
  <c r="X189" i="17"/>
  <c r="X66" i="17"/>
  <c r="X42" i="17"/>
  <c r="T63" i="17"/>
  <c r="T211" i="17"/>
  <c r="AB211" i="17"/>
  <c r="AF49" i="17"/>
  <c r="AF70" i="17"/>
  <c r="X70" i="17"/>
  <c r="X49" i="17"/>
  <c r="X190" i="17"/>
  <c r="X40" i="17"/>
  <c r="T202" i="17"/>
  <c r="X211" i="17"/>
  <c r="AB70" i="17"/>
  <c r="AB190" i="17"/>
  <c r="T70" i="17"/>
  <c r="T45" i="17"/>
  <c r="AB49" i="17"/>
  <c r="AF66" i="17"/>
  <c r="T179" i="17"/>
  <c r="U145" i="17"/>
  <c r="I148" i="17" s="1"/>
  <c r="J148" i="17" s="1"/>
  <c r="AI148" i="17" s="1"/>
  <c r="T190" i="17"/>
  <c r="AF45" i="17"/>
  <c r="AF38" i="17"/>
  <c r="AB45" i="17"/>
  <c r="AB38" i="17"/>
  <c r="T38" i="17"/>
  <c r="AB186" i="17"/>
  <c r="T66" i="17"/>
  <c r="X186" i="17"/>
  <c r="X59" i="17"/>
  <c r="X80" i="17" s="1"/>
  <c r="AB66" i="17"/>
  <c r="X45" i="17"/>
  <c r="T186" i="17"/>
  <c r="EH64" i="17"/>
  <c r="EH62" i="17"/>
  <c r="AD20" i="12"/>
  <c r="AM28" i="13"/>
  <c r="AO28" i="13" s="1"/>
  <c r="AF17" i="13"/>
  <c r="AM29" i="13"/>
  <c r="AO29" i="13" s="1"/>
  <c r="T19" i="12"/>
  <c r="CI25" i="13"/>
  <c r="EH63" i="17"/>
  <c r="FF24" i="19"/>
  <c r="C175" i="19"/>
  <c r="J175" i="19" s="1"/>
  <c r="EH65" i="17"/>
  <c r="AA226" i="19"/>
  <c r="AZ228" i="19" s="1"/>
  <c r="CA225" i="19"/>
  <c r="CE61" i="19"/>
  <c r="Y29" i="18"/>
  <c r="Y82" i="18" s="1"/>
  <c r="CA70" i="19"/>
  <c r="Y33" i="18" s="1"/>
  <c r="CS57" i="19"/>
  <c r="AO58" i="19" s="1"/>
  <c r="BV66" i="19"/>
  <c r="T29" i="18" s="1"/>
  <c r="T82" i="18" s="1"/>
  <c r="O29" i="18"/>
  <c r="O82" i="18" s="1"/>
  <c r="BQ70" i="19"/>
  <c r="FF20" i="19"/>
  <c r="D177" i="19"/>
  <c r="AI177" i="19" s="1"/>
  <c r="I173" i="19"/>
  <c r="O50" i="18" s="1"/>
  <c r="C177" i="19"/>
  <c r="J177" i="19" s="1"/>
  <c r="CH214" i="19"/>
  <c r="FD23" i="17"/>
  <c r="FD16" i="17"/>
  <c r="EP42" i="19" s="1"/>
  <c r="EF42" i="19"/>
  <c r="K165" i="19"/>
  <c r="AJ167" i="19" s="1"/>
  <c r="K75" i="17"/>
  <c r="GG274" i="17"/>
  <c r="EC67" i="17"/>
  <c r="EH67" i="17" s="1"/>
  <c r="FZ273" i="17"/>
  <c r="FT273" i="17" s="1"/>
  <c r="D10" i="1"/>
  <c r="H10" i="1"/>
  <c r="T29" i="16"/>
  <c r="DU282" i="17"/>
  <c r="K227" i="19"/>
  <c r="K181" i="19"/>
  <c r="AJ183" i="19" s="1"/>
  <c r="CD17" i="13"/>
  <c r="CD25" i="13" s="1"/>
  <c r="EL30" i="16"/>
  <c r="Y75" i="16"/>
  <c r="FF19" i="19"/>
  <c r="DT37" i="19"/>
  <c r="V37" i="19" s="1"/>
  <c r="V42" i="19" s="1"/>
  <c r="AU44" i="19" s="1"/>
  <c r="FF23" i="19"/>
  <c r="CZ39" i="19"/>
  <c r="DO40" i="19"/>
  <c r="Q40" i="19" s="1"/>
  <c r="AA40" i="19" s="1"/>
  <c r="CZ40" i="19"/>
  <c r="CU42" i="19"/>
  <c r="C191" i="19"/>
  <c r="J191" i="19" s="1"/>
  <c r="I189" i="19"/>
  <c r="C232" i="19"/>
  <c r="J232" i="19" s="1"/>
  <c r="C213" i="19"/>
  <c r="J213" i="19" s="1"/>
  <c r="AH152" i="19"/>
  <c r="AJ152" i="19" s="1"/>
  <c r="DO39" i="19"/>
  <c r="CZ37" i="19"/>
  <c r="AJ151" i="19"/>
  <c r="CZ38" i="19"/>
  <c r="DO38" i="19"/>
  <c r="CP42" i="19"/>
  <c r="O45" i="18"/>
  <c r="Y85" i="18"/>
  <c r="Y64" i="18"/>
  <c r="Y90" i="18" s="1"/>
  <c r="O90" i="18"/>
  <c r="O28" i="20"/>
  <c r="AD28" i="20" s="1"/>
  <c r="Y43" i="18"/>
  <c r="Y102" i="18" s="1"/>
  <c r="O102" i="18"/>
  <c r="O23" i="20"/>
  <c r="O67" i="18"/>
  <c r="Y63" i="18"/>
  <c r="AH230" i="19"/>
  <c r="AJ230" i="19" s="1"/>
  <c r="AH229" i="19"/>
  <c r="T205" i="17" l="1"/>
  <c r="T225" i="17"/>
  <c r="X90" i="17"/>
  <c r="T227" i="17"/>
  <c r="T64" i="17"/>
  <c r="T91" i="17"/>
  <c r="T228" i="17"/>
  <c r="AB82" i="17"/>
  <c r="AB83" i="17"/>
  <c r="AB232" i="17"/>
  <c r="AF84" i="17"/>
  <c r="AB222" i="17"/>
  <c r="T81" i="17"/>
  <c r="AF64" i="17"/>
  <c r="AB188" i="17"/>
  <c r="AB187" i="17" s="1"/>
  <c r="T47" i="17"/>
  <c r="T46" i="17" s="1"/>
  <c r="AB43" i="17"/>
  <c r="T68" i="17"/>
  <c r="T67" i="17" s="1"/>
  <c r="AB68" i="17"/>
  <c r="AB67" i="17" s="1"/>
  <c r="X188" i="17"/>
  <c r="X187" i="17" s="1"/>
  <c r="X81" i="17"/>
  <c r="AB221" i="17"/>
  <c r="T86" i="17"/>
  <c r="AF83" i="17"/>
  <c r="AF81" i="17"/>
  <c r="X64" i="17"/>
  <c r="AB86" i="17"/>
  <c r="X227" i="17"/>
  <c r="AB64" i="17"/>
  <c r="AB227" i="17"/>
  <c r="AB205" i="17"/>
  <c r="X86" i="17"/>
  <c r="X83" i="17"/>
  <c r="AB81" i="17"/>
  <c r="AF86" i="17"/>
  <c r="T222" i="17"/>
  <c r="T43" i="17"/>
  <c r="X222" i="17"/>
  <c r="AF43" i="17"/>
  <c r="X205" i="17"/>
  <c r="X224" i="17"/>
  <c r="T224" i="17"/>
  <c r="AB224" i="17"/>
  <c r="T90" i="17"/>
  <c r="T83" i="17"/>
  <c r="AF82" i="17"/>
  <c r="T82" i="17"/>
  <c r="X228" i="17"/>
  <c r="AB37" i="17"/>
  <c r="AF58" i="17"/>
  <c r="AB231" i="17"/>
  <c r="AN147" i="17"/>
  <c r="AG149" i="17" s="1"/>
  <c r="AI149" i="17" s="1"/>
  <c r="T231" i="17"/>
  <c r="AB223" i="17"/>
  <c r="AB199" i="17"/>
  <c r="X225" i="17"/>
  <c r="X223" i="17"/>
  <c r="T199" i="17"/>
  <c r="X232" i="17"/>
  <c r="T221" i="17"/>
  <c r="X84" i="17"/>
  <c r="AB225" i="17"/>
  <c r="AB228" i="17"/>
  <c r="X178" i="17"/>
  <c r="T84" i="17"/>
  <c r="AB84" i="17"/>
  <c r="AF91" i="17"/>
  <c r="T37" i="17"/>
  <c r="AB90" i="17"/>
  <c r="AB178" i="17"/>
  <c r="X221" i="17"/>
  <c r="T223" i="17"/>
  <c r="X87" i="17"/>
  <c r="DX10" i="17"/>
  <c r="AF37" i="17"/>
  <c r="X184" i="17"/>
  <c r="X231" i="17"/>
  <c r="X37" i="17"/>
  <c r="AF90" i="17"/>
  <c r="T232" i="17"/>
  <c r="AF68" i="17"/>
  <c r="AF67" i="17" s="1"/>
  <c r="X43" i="17"/>
  <c r="AB80" i="17"/>
  <c r="T178" i="17"/>
  <c r="DN10" i="17"/>
  <c r="X91" i="17"/>
  <c r="T188" i="17"/>
  <c r="T187" i="17" s="1"/>
  <c r="AB47" i="17"/>
  <c r="AB46" i="17" s="1"/>
  <c r="EK117" i="17"/>
  <c r="EK137" i="17" s="1"/>
  <c r="EA137" i="17" s="1"/>
  <c r="O29" i="16" s="1"/>
  <c r="Y29" i="16" s="1"/>
  <c r="X199" i="17"/>
  <c r="AG148" i="17"/>
  <c r="AB209" i="17"/>
  <c r="AB208" i="17" s="1"/>
  <c r="AF80" i="17"/>
  <c r="BJ29" i="16"/>
  <c r="AB91" i="17"/>
  <c r="DP10" i="17"/>
  <c r="T80" i="17"/>
  <c r="T209" i="17"/>
  <c r="T208" i="17" s="1"/>
  <c r="AF47" i="17"/>
  <c r="AF46" i="17" s="1"/>
  <c r="X58" i="17"/>
  <c r="DT10" i="17"/>
  <c r="X209" i="17"/>
  <c r="X208" i="17" s="1"/>
  <c r="ED10" i="17"/>
  <c r="X82" i="17"/>
  <c r="AF87" i="17"/>
  <c r="DU10" i="17"/>
  <c r="T58" i="17"/>
  <c r="X68" i="17"/>
  <c r="X67" i="17" s="1"/>
  <c r="DO10" i="17"/>
  <c r="EB10" i="17"/>
  <c r="DZ10" i="17"/>
  <c r="DQ10" i="17"/>
  <c r="DY10" i="17"/>
  <c r="AB87" i="17"/>
  <c r="EC10" i="17"/>
  <c r="T87" i="17"/>
  <c r="X47" i="17"/>
  <c r="X46" i="17" s="1"/>
  <c r="DS10" i="17"/>
  <c r="DW10" i="17"/>
  <c r="AB184" i="17"/>
  <c r="T184" i="17"/>
  <c r="AB58" i="17"/>
  <c r="T27" i="12"/>
  <c r="T20" i="20" s="1"/>
  <c r="O33" i="18"/>
  <c r="BV70" i="19"/>
  <c r="DO42" i="19"/>
  <c r="DT42" i="19"/>
  <c r="O36" i="18"/>
  <c r="T74" i="16"/>
  <c r="O19" i="12"/>
  <c r="AA37" i="19"/>
  <c r="DY37" i="19"/>
  <c r="DY40" i="19"/>
  <c r="CZ42" i="19"/>
  <c r="AI218" i="19"/>
  <c r="AJ229" i="19" s="1"/>
  <c r="K218" i="19"/>
  <c r="K215" i="19"/>
  <c r="K193" i="19"/>
  <c r="L264" i="17" s="1"/>
  <c r="K201" i="19"/>
  <c r="AI201" i="19"/>
  <c r="K198" i="19"/>
  <c r="K196" i="19"/>
  <c r="CH211" i="19"/>
  <c r="DY38" i="19"/>
  <c r="Q38" i="19"/>
  <c r="DY39" i="19"/>
  <c r="Q39" i="19"/>
  <c r="AA39" i="19" s="1"/>
  <c r="T226" i="17" l="1"/>
  <c r="T85" i="17"/>
  <c r="AB88" i="17"/>
  <c r="T89" i="17"/>
  <c r="AF85" i="17"/>
  <c r="AB85" i="17"/>
  <c r="T88" i="17"/>
  <c r="AB220" i="17"/>
  <c r="X85" i="17"/>
  <c r="AB215" i="17"/>
  <c r="EF178" i="17" s="1"/>
  <c r="EF206" i="17" s="1"/>
  <c r="T34" i="16" s="1"/>
  <c r="T78" i="16" s="1"/>
  <c r="AB226" i="17"/>
  <c r="X226" i="17"/>
  <c r="AH148" i="17"/>
  <c r="AB79" i="17"/>
  <c r="AF79" i="17"/>
  <c r="AF74" i="17"/>
  <c r="DX40" i="17" s="1"/>
  <c r="DX51" i="17" s="1"/>
  <c r="DX89" i="17" s="1"/>
  <c r="T22" i="16" s="1"/>
  <c r="T73" i="16" s="1"/>
  <c r="T53" i="17"/>
  <c r="DS37" i="17" s="1"/>
  <c r="EA117" i="17"/>
  <c r="O74" i="16"/>
  <c r="T220" i="17"/>
  <c r="T215" i="17"/>
  <c r="DX178" i="17" s="1"/>
  <c r="DX206" i="17" s="1"/>
  <c r="T32" i="16" s="1"/>
  <c r="X220" i="17"/>
  <c r="T79" i="17"/>
  <c r="AF53" i="17"/>
  <c r="X215" i="17"/>
  <c r="EB178" i="17" s="1"/>
  <c r="AB230" i="17"/>
  <c r="AB53" i="17"/>
  <c r="DS39" i="17" s="1"/>
  <c r="AB89" i="17"/>
  <c r="X79" i="17"/>
  <c r="AF88" i="17"/>
  <c r="AF89" i="17"/>
  <c r="X88" i="17"/>
  <c r="AB229" i="17"/>
  <c r="T230" i="17"/>
  <c r="T74" i="17"/>
  <c r="DX37" i="17" s="1"/>
  <c r="DX48" i="17" s="1"/>
  <c r="T229" i="17"/>
  <c r="DR10" i="17"/>
  <c r="X229" i="17"/>
  <c r="X74" i="17"/>
  <c r="DX38" i="17" s="1"/>
  <c r="DX49" i="17" s="1"/>
  <c r="DX87" i="17" s="1"/>
  <c r="T20" i="16" s="1"/>
  <c r="T71" i="16" s="1"/>
  <c r="X89" i="17"/>
  <c r="EA10" i="17"/>
  <c r="X194" i="17"/>
  <c r="DO178" i="17" s="1"/>
  <c r="X230" i="17"/>
  <c r="AB74" i="17"/>
  <c r="DX39" i="17" s="1"/>
  <c r="DX50" i="17" s="1"/>
  <c r="DX88" i="17" s="1"/>
  <c r="T21" i="16" s="1"/>
  <c r="T72" i="16" s="1"/>
  <c r="AB194" i="17"/>
  <c r="DS178" i="17" s="1"/>
  <c r="X53" i="17"/>
  <c r="DS38" i="17" s="1"/>
  <c r="T194" i="17"/>
  <c r="O27" i="12"/>
  <c r="AD19" i="12"/>
  <c r="CH212" i="19"/>
  <c r="CN213" i="19" s="1"/>
  <c r="T33" i="18"/>
  <c r="BU212" i="19"/>
  <c r="DY42" i="19"/>
  <c r="AA38" i="19"/>
  <c r="Q42" i="19"/>
  <c r="Y74" i="16"/>
  <c r="EL29" i="16"/>
  <c r="AF95" i="17" l="1"/>
  <c r="AY97" i="17" s="1"/>
  <c r="EF185" i="17"/>
  <c r="DS40" i="17"/>
  <c r="DS51" i="17" s="1"/>
  <c r="I216" i="17"/>
  <c r="K216" i="17" s="1"/>
  <c r="DX185" i="17"/>
  <c r="I54" i="17"/>
  <c r="K54" i="17" s="1"/>
  <c r="I195" i="17"/>
  <c r="K195" i="17" s="1"/>
  <c r="T95" i="17"/>
  <c r="X95" i="17"/>
  <c r="AQ97" i="17" s="1"/>
  <c r="X236" i="17"/>
  <c r="AW238" i="17" s="1"/>
  <c r="DK178" i="17"/>
  <c r="DK185" i="17" s="1"/>
  <c r="AB95" i="17"/>
  <c r="AU97" i="17" s="1"/>
  <c r="DX42" i="17"/>
  <c r="AB236" i="17"/>
  <c r="BA238" i="17" s="1"/>
  <c r="T236" i="17"/>
  <c r="DX53" i="17"/>
  <c r="EH281" i="17" s="1"/>
  <c r="DX86" i="17"/>
  <c r="EB206" i="17"/>
  <c r="EB185" i="17"/>
  <c r="DS49" i="17"/>
  <c r="EC38" i="17"/>
  <c r="DS50" i="17"/>
  <c r="EC39" i="17"/>
  <c r="DO185" i="17"/>
  <c r="EO178" i="17"/>
  <c r="DO206" i="17"/>
  <c r="EV178" i="17"/>
  <c r="DS48" i="17"/>
  <c r="EC37" i="17"/>
  <c r="EW178" i="17"/>
  <c r="DS206" i="17"/>
  <c r="DS185" i="17"/>
  <c r="EQ178" i="17"/>
  <c r="AD27" i="12"/>
  <c r="O20" i="20"/>
  <c r="AD20" i="20" s="1"/>
  <c r="O25" i="18"/>
  <c r="O34" i="18"/>
  <c r="BV37" i="19"/>
  <c r="CV204" i="19"/>
  <c r="CP204" i="19" s="1"/>
  <c r="W204" i="19" s="1"/>
  <c r="BV38" i="19"/>
  <c r="T19" i="18" s="1"/>
  <c r="I43" i="19"/>
  <c r="BQ37" i="19"/>
  <c r="BQ40" i="19"/>
  <c r="BQ38" i="19"/>
  <c r="AP44" i="19"/>
  <c r="O96" i="18"/>
  <c r="BQ39" i="19"/>
  <c r="BV39" i="19"/>
  <c r="T20" i="18" s="1"/>
  <c r="BV40" i="19"/>
  <c r="T21" i="18" s="1"/>
  <c r="AA42" i="19"/>
  <c r="CG200" i="19"/>
  <c r="T76" i="16"/>
  <c r="DS42" i="17" l="1"/>
  <c r="EC42" i="17" s="1"/>
  <c r="EC40" i="17"/>
  <c r="EH40" i="17" s="1"/>
  <c r="DK206" i="17"/>
  <c r="EM206" i="17" s="1"/>
  <c r="EH283" i="17"/>
  <c r="EN282" i="17" s="1"/>
  <c r="I96" i="17"/>
  <c r="K96" i="17" s="1"/>
  <c r="AM97" i="17"/>
  <c r="AB98" i="17" s="1"/>
  <c r="EH37" i="17"/>
  <c r="EH38" i="17"/>
  <c r="I237" i="17"/>
  <c r="K237" i="17" s="1"/>
  <c r="EU178" i="17"/>
  <c r="EV274" i="17" s="1"/>
  <c r="EP274" i="17" s="1"/>
  <c r="W274" i="17" s="1"/>
  <c r="DV274" i="17" s="1"/>
  <c r="T57" i="16" s="1"/>
  <c r="EH39" i="17"/>
  <c r="AS238" i="17"/>
  <c r="EM178" i="17"/>
  <c r="T33" i="16"/>
  <c r="DU283" i="17"/>
  <c r="T19" i="16"/>
  <c r="DX91" i="17"/>
  <c r="DU281" i="17" s="1"/>
  <c r="DS86" i="17"/>
  <c r="EC48" i="17"/>
  <c r="DS53" i="17"/>
  <c r="O33" i="16"/>
  <c r="EO206" i="17"/>
  <c r="DS88" i="17"/>
  <c r="EC50" i="17"/>
  <c r="DS89" i="17"/>
  <c r="EC51" i="17"/>
  <c r="EQ206" i="17"/>
  <c r="O34" i="16"/>
  <c r="EC49" i="17"/>
  <c r="DS87" i="17"/>
  <c r="T80" i="18"/>
  <c r="T18" i="20"/>
  <c r="O20" i="18"/>
  <c r="CA39" i="19"/>
  <c r="AH46" i="19"/>
  <c r="AJ46" i="19" s="1"/>
  <c r="AH45" i="19"/>
  <c r="O21" i="18"/>
  <c r="CA40" i="19"/>
  <c r="K43" i="19"/>
  <c r="BV204" i="19"/>
  <c r="W207" i="19"/>
  <c r="Y96" i="18" s="1"/>
  <c r="AZ44" i="19"/>
  <c r="T79" i="18"/>
  <c r="T17" i="20"/>
  <c r="O19" i="18"/>
  <c r="CA38" i="19"/>
  <c r="CA37" i="19"/>
  <c r="O18" i="18"/>
  <c r="BQ42" i="19"/>
  <c r="T16" i="20"/>
  <c r="T78" i="18"/>
  <c r="T18" i="18"/>
  <c r="BV42" i="19"/>
  <c r="BU211" i="19" s="1"/>
  <c r="BI213" i="19" s="1"/>
  <c r="T71" i="18" s="1"/>
  <c r="AD98" i="17" l="1"/>
  <c r="O32" i="16"/>
  <c r="O76" i="16" s="1"/>
  <c r="EH42" i="17"/>
  <c r="AB99" i="17"/>
  <c r="AD99" i="17" s="1"/>
  <c r="AG239" i="17"/>
  <c r="AI239" i="17" s="1"/>
  <c r="DI282" i="17"/>
  <c r="T64" i="16" s="1"/>
  <c r="T24" i="16"/>
  <c r="T70" i="16"/>
  <c r="T77" i="16"/>
  <c r="T31" i="16"/>
  <c r="T36" i="16" s="1"/>
  <c r="T19" i="20" s="1"/>
  <c r="T89" i="16"/>
  <c r="Y57" i="16"/>
  <c r="Y89" i="16" s="1"/>
  <c r="O78" i="16"/>
  <c r="Y34" i="16"/>
  <c r="O22" i="16"/>
  <c r="O18" i="20" s="1"/>
  <c r="AD18" i="20" s="1"/>
  <c r="EC89" i="17"/>
  <c r="O21" i="16"/>
  <c r="O17" i="20" s="1"/>
  <c r="AD17" i="20" s="1"/>
  <c r="EC88" i="17"/>
  <c r="Y33" i="16"/>
  <c r="O77" i="16"/>
  <c r="O19" i="16"/>
  <c r="O15" i="20" s="1"/>
  <c r="EC86" i="17"/>
  <c r="DS91" i="17"/>
  <c r="EC91" i="17" s="1"/>
  <c r="O20" i="16"/>
  <c r="EC87" i="17"/>
  <c r="EV273" i="17"/>
  <c r="EP273" i="17" s="1"/>
  <c r="W273" i="17" s="1"/>
  <c r="FC274" i="17"/>
  <c r="EC53" i="17"/>
  <c r="O95" i="16"/>
  <c r="AJ45" i="19"/>
  <c r="T77" i="18"/>
  <c r="T23" i="18"/>
  <c r="T15" i="20"/>
  <c r="O77" i="18"/>
  <c r="Y18" i="18"/>
  <c r="Y77" i="18" s="1"/>
  <c r="O23" i="18"/>
  <c r="AV209" i="19"/>
  <c r="I208" i="19"/>
  <c r="K208" i="19" s="1"/>
  <c r="T96" i="18"/>
  <c r="T92" i="18"/>
  <c r="O69" i="18"/>
  <c r="CA42" i="19"/>
  <c r="O78" i="18"/>
  <c r="Y19" i="18"/>
  <c r="Y78" i="18" s="1"/>
  <c r="BV207" i="19"/>
  <c r="T59" i="18" s="1"/>
  <c r="T60" i="18"/>
  <c r="Y21" i="18"/>
  <c r="Y80" i="18" s="1"/>
  <c r="O80" i="18"/>
  <c r="O79" i="18"/>
  <c r="Y20" i="18"/>
  <c r="Y79" i="18" s="1"/>
  <c r="Y32" i="16" l="1"/>
  <c r="EL32" i="16" s="1"/>
  <c r="O31" i="16"/>
  <c r="Y31" i="16" s="1"/>
  <c r="T91" i="16"/>
  <c r="Y91" i="16" s="1"/>
  <c r="O62" i="16"/>
  <c r="O70" i="16"/>
  <c r="Y19" i="16"/>
  <c r="O24" i="16"/>
  <c r="Y24" i="16" s="1"/>
  <c r="Y21" i="16"/>
  <c r="Y72" i="16" s="1"/>
  <c r="O72" i="16"/>
  <c r="W277" i="17"/>
  <c r="DV273" i="17"/>
  <c r="Y77" i="16"/>
  <c r="EL33" i="16"/>
  <c r="Y22" i="16"/>
  <c r="Y73" i="16" s="1"/>
  <c r="O73" i="16"/>
  <c r="Y20" i="16"/>
  <c r="Y71" i="16" s="1"/>
  <c r="O71" i="16"/>
  <c r="EL34" i="16"/>
  <c r="Y78" i="16"/>
  <c r="O16" i="20"/>
  <c r="AD16" i="20" s="1"/>
  <c r="Y23" i="18"/>
  <c r="O14" i="18" s="1"/>
  <c r="AD15" i="20"/>
  <c r="T67" i="18"/>
  <c r="Y67" i="18" s="1"/>
  <c r="Y59" i="18"/>
  <c r="AH210" i="19"/>
  <c r="AJ210" i="19" s="1"/>
  <c r="AH211" i="19"/>
  <c r="AJ211" i="19" s="1"/>
  <c r="O94" i="18"/>
  <c r="Y60" i="18"/>
  <c r="Y87" i="18" s="1"/>
  <c r="T87" i="18"/>
  <c r="T94" i="18" s="1"/>
  <c r="Y92" i="18"/>
  <c r="T24" i="20"/>
  <c r="AD24" i="20" s="1"/>
  <c r="BJ31" i="16" l="1"/>
  <c r="O26" i="16" s="1"/>
  <c r="O36" i="16"/>
  <c r="O19" i="20" s="1"/>
  <c r="Y76" i="16"/>
  <c r="I278" i="17"/>
  <c r="K278" i="17" s="1"/>
  <c r="AV279" i="17"/>
  <c r="T95" i="16"/>
  <c r="Y95" i="16" s="1"/>
  <c r="DV277" i="17"/>
  <c r="T56" i="16"/>
  <c r="O93" i="16"/>
  <c r="Y70" i="16"/>
  <c r="O14" i="16"/>
  <c r="O56" i="18"/>
  <c r="O75" i="18" s="1"/>
  <c r="Y94" i="18"/>
  <c r="Y36" i="16" l="1"/>
  <c r="AD19" i="20"/>
  <c r="O26" i="20"/>
  <c r="Y56" i="16"/>
  <c r="Y88" i="16" s="1"/>
  <c r="Y93" i="16" s="1"/>
  <c r="O54" i="16"/>
  <c r="O68" i="16" s="1"/>
  <c r="T60" i="16"/>
  <c r="T88" i="16"/>
  <c r="T93" i="16" s="1"/>
  <c r="AH280" i="17"/>
  <c r="AJ280" i="17" s="1"/>
  <c r="AH281" i="17"/>
  <c r="AJ281" i="17" s="1"/>
  <c r="C12" i="18"/>
  <c r="C12" i="16"/>
  <c r="C12" i="12"/>
  <c r="C12" i="20"/>
  <c r="O5" i="12"/>
  <c r="O5" i="16"/>
  <c r="Y60" i="16" l="1"/>
  <c r="T23" i="20"/>
  <c r="AD23" i="20" l="1"/>
  <c r="T26" i="20"/>
  <c r="AD2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Joao</author>
    <author>Kateri Beaulne-Belisle</author>
  </authors>
  <commentList>
    <comment ref="Q4" authorId="0" shapeId="0" xr:uid="{00000000-0006-0000-0000-000001000000}">
      <text>
        <r>
          <rPr>
            <b/>
            <sz val="9"/>
            <color indexed="81"/>
            <rFont val="Tahoma"/>
            <family val="2"/>
          </rPr>
          <t>Année de référence :</t>
        </r>
        <r>
          <rPr>
            <sz val="9"/>
            <color indexed="81"/>
            <rFont val="Tahoma"/>
            <family val="2"/>
          </rPr>
          <t xml:space="preserve">
Inscrire l’année de référence de l'inventaire</t>
        </r>
      </text>
    </comment>
    <comment ref="Q6" authorId="0" shapeId="0" xr:uid="{00000000-0006-0000-0000-000002000000}">
      <text>
        <r>
          <rPr>
            <b/>
            <sz val="9"/>
            <color indexed="81"/>
            <rFont val="Tahoma"/>
            <family val="2"/>
          </rPr>
          <t>Région administrative :</t>
        </r>
        <r>
          <rPr>
            <sz val="9"/>
            <color indexed="81"/>
            <rFont val="Tahoma"/>
            <family val="2"/>
          </rPr>
          <t xml:space="preserve"> 
Choisir la région administrative à l'aide du menu déroulant</t>
        </r>
      </text>
    </comment>
    <comment ref="AG6" authorId="1" shapeId="0" xr:uid="{ADC34E45-252C-49D9-AE78-F713925E8A48}">
      <text>
        <r>
          <rPr>
            <b/>
            <sz val="9"/>
            <color indexed="81"/>
            <rFont val="Tahoma"/>
            <family val="2"/>
          </rPr>
          <t>Territoire d'application du projet de PGMR et outil d'inventaire :</t>
        </r>
        <r>
          <rPr>
            <sz val="9"/>
            <color indexed="81"/>
            <rFont val="Tahoma"/>
            <family val="2"/>
          </rPr>
          <t xml:space="preserve">
L'outil est conçu de façon à s'appuyer sur les données du territoire d'une MRC pour effectuer certains calculs (MRC ou territoire équivalent). Ainsi, si le territoire d'application de votre projet de plan couvre plus d'une MRC, il est recommandé de remplir une copie de l'outil par MRC. Si le territoire de votre plan couvre une ou plusieurs parties de MRC, communiquez avec l'équipe d'accompagnement municipal de RECYC-QUÉBEC (pgmr@recyc-quebec.gouv.qc.ca), afin de déterminer s'il vous serait néanmoins possible de l'utiliser.</t>
        </r>
        <r>
          <rPr>
            <sz val="9"/>
            <color indexed="81"/>
            <rFont val="Tahoma"/>
            <family val="2"/>
          </rPr>
          <t xml:space="preserve">
</t>
        </r>
      </text>
    </comment>
    <comment ref="AO6" authorId="0" shapeId="0" xr:uid="{00000000-0006-0000-0000-000003000000}">
      <text>
        <r>
          <rPr>
            <b/>
            <sz val="9"/>
            <color indexed="81"/>
            <rFont val="Tahoma"/>
            <family val="2"/>
          </rPr>
          <t xml:space="preserve">Nom de la MRC : </t>
        </r>
        <r>
          <rPr>
            <sz val="9"/>
            <color indexed="81"/>
            <rFont val="Tahoma"/>
            <family val="2"/>
          </rPr>
          <t xml:space="preserve">
Choisir la MRC (ou territoire équivalent) à l'aide du menu déroulant</t>
        </r>
      </text>
    </comment>
    <comment ref="Q8" authorId="0" shapeId="0" xr:uid="{00000000-0006-0000-0000-000004000000}">
      <text>
        <r>
          <rPr>
            <b/>
            <sz val="9"/>
            <color indexed="81"/>
            <rFont val="Tahoma"/>
            <family val="2"/>
          </rPr>
          <t xml:space="preserve">Population de la RA : </t>
        </r>
        <r>
          <rPr>
            <sz val="9"/>
            <color indexed="81"/>
            <rFont val="Tahoma"/>
            <family val="2"/>
          </rPr>
          <t xml:space="preserve">
Indiquez la population de la région administrative lors de l'année de référence.
Pour ce faire, vous pouvez utiliser le lien afin d'accéder aux données de l'Institut de la Statistique du Québec (ISQ)</t>
        </r>
      </text>
    </comment>
    <comment ref="AO8" authorId="0" shapeId="0" xr:uid="{00000000-0006-0000-0000-000005000000}">
      <text>
        <r>
          <rPr>
            <b/>
            <sz val="9"/>
            <color indexed="81"/>
            <rFont val="Tahoma"/>
            <family val="2"/>
          </rPr>
          <t xml:space="preserve">Population de la MRC : </t>
        </r>
        <r>
          <rPr>
            <sz val="9"/>
            <color indexed="81"/>
            <rFont val="Tahoma"/>
            <family val="2"/>
          </rPr>
          <t xml:space="preserve">
Indiquez la population lors de l'année de référence. Pour ce faire, vous pouvez utiliser le lien afin d'accéder aux données de l'Institut de la Statistique du Québec (ISQ).</t>
        </r>
      </text>
    </comment>
    <comment ref="Q10" authorId="0" shapeId="0" xr:uid="{00000000-0006-0000-0000-000006000000}">
      <text>
        <r>
          <rPr>
            <b/>
            <sz val="9"/>
            <color indexed="81"/>
            <rFont val="Tahoma"/>
            <family val="2"/>
          </rPr>
          <t xml:space="preserve">Personne-ressource : </t>
        </r>
        <r>
          <rPr>
            <sz val="9"/>
            <color indexed="81"/>
            <rFont val="Tahoma"/>
            <family val="2"/>
          </rPr>
          <t xml:space="preserve">
Inscrire le nom de la personne-ressource responsable de l'inventaire des matières résiduelles et de la révision du PGMR.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MG</author>
    <author>Kateri Beaulne-Belisle</author>
    <author>Joao</author>
    <author>Marie-Eve Provost</author>
    <author>Annie Lalonde</author>
  </authors>
  <commentList>
    <comment ref="K7" authorId="0" shapeId="0" xr:uid="{00000000-0006-0000-0100-000001000000}">
      <text>
        <r>
          <rPr>
            <sz val="9"/>
            <color indexed="81"/>
            <rFont val="Tahoma"/>
            <family val="2"/>
          </rPr>
          <t>Utilisez les données disponibles dans le</t>
        </r>
        <r>
          <rPr>
            <i/>
            <sz val="9"/>
            <color indexed="81"/>
            <rFont val="Tahoma"/>
            <family val="2"/>
          </rPr>
          <t xml:space="preserve"> Sommaire du rôle d'évaluation foncière</t>
        </r>
        <r>
          <rPr>
            <sz val="9"/>
            <color indexed="81"/>
            <rFont val="Tahoma"/>
            <family val="2"/>
          </rPr>
          <t xml:space="preserve"> de l'organisme municipal</t>
        </r>
      </text>
    </comment>
    <comment ref="L8" authorId="1" shapeId="0" xr:uid="{A2C93DE3-B748-4371-AF99-3984C7D94504}">
      <text>
        <r>
          <rPr>
            <b/>
            <sz val="9"/>
            <color indexed="81"/>
            <rFont val="Tahoma"/>
            <family val="2"/>
          </rPr>
          <t xml:space="preserve">Note sur les condos : </t>
        </r>
        <r>
          <rPr>
            <sz val="9"/>
            <color indexed="81"/>
            <rFont val="Tahoma"/>
            <family val="2"/>
          </rPr>
          <t xml:space="preserve">Si vous connaissez la répartition des condos selon leur type de logement, répartissez-les aux lignes correspondantes de la présente question. À défaut de connaître cette répartition, incluez leur nombre total à la ligne « Multilogement (10 logements et plus) et condos ». </t>
        </r>
      </text>
    </comment>
    <comment ref="Z8" authorId="2" shapeId="0" xr:uid="{00000000-0006-0000-0100-000002000000}">
      <text>
        <r>
          <rPr>
            <b/>
            <sz val="9"/>
            <color indexed="81"/>
            <rFont val="Tahoma"/>
            <family val="2"/>
          </rPr>
          <t xml:space="preserve">Nombre d'unités d'occupation :
</t>
        </r>
        <r>
          <rPr>
            <sz val="9"/>
            <color indexed="81"/>
            <rFont val="Tahoma"/>
            <family val="2"/>
          </rPr>
          <t>Inscrire le nombre d’unités de logement de type « multilogement »</t>
        </r>
      </text>
    </comment>
    <comment ref="Z9" authorId="2" shapeId="0" xr:uid="{00000000-0006-0000-0100-000003000000}">
      <text>
        <r>
          <rPr>
            <b/>
            <sz val="9"/>
            <color indexed="81"/>
            <rFont val="Tahoma"/>
            <family val="2"/>
          </rPr>
          <t xml:space="preserve">Nombre d'unités d'occupation :
</t>
        </r>
        <r>
          <rPr>
            <sz val="9"/>
            <color indexed="81"/>
            <rFont val="Tahoma"/>
            <family val="2"/>
          </rPr>
          <t>Inscrire le nombre d’unités de logement de type « plex »</t>
        </r>
      </text>
    </comment>
    <comment ref="Z10" authorId="2" shapeId="0" xr:uid="{00000000-0006-0000-0100-000004000000}">
      <text>
        <r>
          <rPr>
            <b/>
            <sz val="9"/>
            <color indexed="81"/>
            <rFont val="Tahoma"/>
            <family val="2"/>
          </rPr>
          <t xml:space="preserve">Nombre d'unités d'occupation :
</t>
        </r>
        <r>
          <rPr>
            <sz val="9"/>
            <color indexed="81"/>
            <rFont val="Tahoma"/>
            <family val="2"/>
          </rPr>
          <t>Inscrire le nombre d’unités de logement de type « unifamilial » en milieu urbain</t>
        </r>
      </text>
    </comment>
    <comment ref="Z11" authorId="3" shapeId="0" xr:uid="{00000000-0006-0000-0100-000005000000}">
      <text>
        <r>
          <rPr>
            <b/>
            <sz val="9"/>
            <color indexed="81"/>
            <rFont val="Tahoma"/>
            <family val="2"/>
          </rPr>
          <t>Nombre d'unités d'occupation :</t>
        </r>
        <r>
          <rPr>
            <sz val="9"/>
            <color indexed="81"/>
            <rFont val="Tahoma"/>
            <family val="2"/>
          </rPr>
          <t xml:space="preserve">
Inscrire le nombre d’unités de logement de type « unifamilial » en milieu rural</t>
        </r>
      </text>
    </comment>
    <comment ref="Z12" authorId="2" shapeId="0" xr:uid="{00000000-0006-0000-0100-000006000000}">
      <text>
        <r>
          <rPr>
            <b/>
            <sz val="9"/>
            <color indexed="81"/>
            <rFont val="Tahoma"/>
            <family val="2"/>
          </rPr>
          <t xml:space="preserve">Nombre d'unités d'occupation :
</t>
        </r>
        <r>
          <rPr>
            <sz val="9"/>
            <color indexed="81"/>
            <rFont val="Tahoma"/>
            <family val="2"/>
          </rPr>
          <t>Inscrire le nombre d’unités de logement de type « chalets et villégiature »</t>
        </r>
      </text>
    </comment>
    <comment ref="Z15" authorId="2" shapeId="0" xr:uid="{00000000-0006-0000-0100-000007000000}">
      <text>
        <r>
          <rPr>
            <b/>
            <sz val="9"/>
            <color indexed="81"/>
            <rFont val="Tahoma"/>
            <family val="2"/>
          </rPr>
          <t xml:space="preserve">Densité d’occupation :
</t>
        </r>
        <r>
          <rPr>
            <sz val="9"/>
            <color indexed="81"/>
            <rFont val="Tahoma"/>
            <family val="2"/>
          </rPr>
          <t>Inscrire le nombre moyen de personnes par unité de logement de type « multilogement ».
En cas de besoin, se référer à la densité suggérée.</t>
        </r>
      </text>
    </comment>
    <comment ref="Z16" authorId="2" shapeId="0" xr:uid="{00000000-0006-0000-0100-000008000000}">
      <text>
        <r>
          <rPr>
            <b/>
            <sz val="9"/>
            <color indexed="81"/>
            <rFont val="Tahoma"/>
            <family val="2"/>
          </rPr>
          <t xml:space="preserve">Densité d’occupation :
</t>
        </r>
        <r>
          <rPr>
            <sz val="9"/>
            <color indexed="81"/>
            <rFont val="Tahoma"/>
            <family val="2"/>
          </rPr>
          <t>Inscrire le nombre moyen de personnes par unité de logement de type « plex ».
En cas de besoin, se référer à la densité suggérée.</t>
        </r>
      </text>
    </comment>
    <comment ref="Z17" authorId="2" shapeId="0" xr:uid="{00000000-0006-0000-0100-000009000000}">
      <text>
        <r>
          <rPr>
            <b/>
            <sz val="9"/>
            <color indexed="81"/>
            <rFont val="Tahoma"/>
            <family val="2"/>
          </rPr>
          <t xml:space="preserve">Densité d’occupation :
</t>
        </r>
        <r>
          <rPr>
            <sz val="9"/>
            <color indexed="81"/>
            <rFont val="Tahoma"/>
            <family val="2"/>
          </rPr>
          <t>Inscrire le nombre moyen de personnes par unité de logement de type « unifamilial » en milieu urbain.
En cas de besoin, se référer à la densité suggérée.</t>
        </r>
      </text>
    </comment>
    <comment ref="Z18" authorId="2" shapeId="0" xr:uid="{00000000-0006-0000-0100-00000A000000}">
      <text>
        <r>
          <rPr>
            <b/>
            <sz val="9"/>
            <color indexed="81"/>
            <rFont val="Tahoma"/>
            <family val="2"/>
          </rPr>
          <t xml:space="preserve">Densité d’occupation :
</t>
        </r>
        <r>
          <rPr>
            <sz val="9"/>
            <color indexed="81"/>
            <rFont val="Tahoma"/>
            <family val="2"/>
          </rPr>
          <t>Inscrire le nombre moyen de personnes par unité de logement de type « unifamilial » en milieu rural.
En cas de besoin, se référer à la densité suggérée.</t>
        </r>
      </text>
    </comment>
    <comment ref="KE29" authorId="1" shapeId="0" xr:uid="{32BDE250-ADD3-4C32-BE96-440163406321}">
      <text>
        <r>
          <rPr>
            <b/>
            <sz val="9"/>
            <color indexed="81"/>
            <rFont val="Tahoma"/>
            <family val="2"/>
          </rPr>
          <t xml:space="preserve">Récupéré : </t>
        </r>
        <r>
          <rPr>
            <sz val="9"/>
            <color indexed="81"/>
            <rFont val="Tahoma"/>
            <family val="2"/>
          </rPr>
          <t xml:space="preserve">Tonnage global de la collecte des matières recyclables de la collecte sélective
</t>
        </r>
      </text>
    </comment>
    <comment ref="KJ29" authorId="1" shapeId="0" xr:uid="{F7735646-709C-4801-9DC2-4ABF0EF1E70B}">
      <text>
        <r>
          <rPr>
            <b/>
            <sz val="9"/>
            <color indexed="81"/>
            <rFont val="Tahoma"/>
            <family val="2"/>
          </rPr>
          <t xml:space="preserve">Éliminé : </t>
        </r>
        <r>
          <rPr>
            <sz val="9"/>
            <color indexed="81"/>
            <rFont val="Tahoma"/>
            <family val="2"/>
          </rPr>
          <t xml:space="preserve">Tonnage global de la collecte d'ordures
</t>
        </r>
      </text>
    </comment>
    <comment ref="KQ29" authorId="2" shapeId="0" xr:uid="{00000000-0006-0000-0100-00000B000000}">
      <text>
        <r>
          <rPr>
            <sz val="9"/>
            <color indexed="81"/>
            <rFont val="Tahoma"/>
            <family val="2"/>
          </rPr>
          <t>Estimée à 9,8 %</t>
        </r>
      </text>
    </comment>
    <comment ref="KV29" authorId="2" shapeId="0" xr:uid="{00000000-0006-0000-0100-00000C000000}">
      <text>
        <r>
          <rPr>
            <sz val="9"/>
            <color indexed="81"/>
            <rFont val="Tahoma"/>
            <family val="2"/>
          </rPr>
          <t>Estimée à 21,4 %</t>
        </r>
      </text>
    </comment>
    <comment ref="AF30" authorId="2" shapeId="0" xr:uid="{00000000-0006-0000-0100-00000D000000}">
      <text>
        <r>
          <rPr>
            <b/>
            <sz val="9"/>
            <color indexed="81"/>
            <rFont val="Tahoma"/>
            <family val="2"/>
          </rPr>
          <t xml:space="preserve">Collecte sélective municipale auprès d’ICI :
</t>
        </r>
        <r>
          <rPr>
            <sz val="9"/>
            <color indexed="81"/>
            <rFont val="Tahoma"/>
            <family val="2"/>
          </rPr>
          <t>Cochez si OUI ou NON, la collecte municipale se fait auprès d’ICI</t>
        </r>
      </text>
    </comment>
    <comment ref="AB32" authorId="0" shapeId="0" xr:uid="{00000000-0006-0000-0100-00000E000000}">
      <text>
        <r>
          <rPr>
            <b/>
            <sz val="9"/>
            <color indexed="81"/>
            <rFont val="Tahoma"/>
            <family val="2"/>
          </rPr>
          <t>Données à utiliser :</t>
        </r>
        <r>
          <rPr>
            <sz val="9"/>
            <color indexed="81"/>
            <rFont val="Tahoma"/>
            <family val="2"/>
          </rPr>
          <t xml:space="preserve">
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text>
    </comment>
    <comment ref="KE38" authorId="1" shapeId="0" xr:uid="{14A2639F-519C-4FFE-A18D-802171FE8DD7}">
      <text>
        <r>
          <rPr>
            <b/>
            <sz val="9"/>
            <color indexed="81"/>
            <rFont val="Tahoma"/>
            <family val="2"/>
          </rPr>
          <t xml:space="preserve">Récupéré : </t>
        </r>
        <r>
          <rPr>
            <sz val="9"/>
            <color indexed="81"/>
            <rFont val="Tahoma"/>
            <family val="2"/>
          </rPr>
          <t>Tonnage global de la collecte des matières recyclables de la collecte sélective, sans celui provenant des ICI</t>
        </r>
      </text>
    </comment>
    <comment ref="KJ38" authorId="1" shapeId="0" xr:uid="{D6EFCC2E-8A01-4622-B9B9-BE51F186EA43}">
      <text>
        <r>
          <rPr>
            <b/>
            <sz val="9"/>
            <color indexed="81"/>
            <rFont val="Tahoma"/>
            <family val="2"/>
          </rPr>
          <t xml:space="preserve">Éliminé : </t>
        </r>
        <r>
          <rPr>
            <sz val="9"/>
            <color indexed="81"/>
            <rFont val="Tahoma"/>
            <family val="2"/>
          </rPr>
          <t xml:space="preserve">Tonnage global de la collecte d'ordures, sans celui provenant des ICI
</t>
        </r>
      </text>
    </comment>
    <comment ref="KQ42" authorId="2" shapeId="0" xr:uid="{00000000-0006-0000-0100-00000F000000}">
      <text>
        <r>
          <rPr>
            <sz val="9"/>
            <color indexed="81"/>
            <rFont val="Tahoma"/>
            <family val="2"/>
          </rPr>
          <t>Estimée à 67,5 %</t>
        </r>
      </text>
    </comment>
    <comment ref="KV42" authorId="2" shapeId="0" xr:uid="{00000000-0006-0000-0100-000010000000}">
      <text>
        <r>
          <rPr>
            <sz val="9"/>
            <color indexed="81"/>
            <rFont val="Tahoma"/>
            <family val="2"/>
          </rPr>
          <t>Estimée à 10,5 %</t>
        </r>
      </text>
    </comment>
    <comment ref="KQ43" authorId="2" shapeId="0" xr:uid="{00000000-0006-0000-0100-000011000000}">
      <text>
        <r>
          <rPr>
            <sz val="9"/>
            <color indexed="81"/>
            <rFont val="Tahoma"/>
            <family val="2"/>
          </rPr>
          <t>Estimée à 4,2 %</t>
        </r>
      </text>
    </comment>
    <comment ref="KV43" authorId="2" shapeId="0" xr:uid="{00000000-0006-0000-0100-000012000000}">
      <text>
        <r>
          <rPr>
            <sz val="9"/>
            <color indexed="81"/>
            <rFont val="Tahoma"/>
            <family val="2"/>
          </rPr>
          <t>Estimée à 2,2 %</t>
        </r>
      </text>
    </comment>
    <comment ref="AE44" authorId="2" shapeId="0" xr:uid="{00000000-0006-0000-0100-000013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KQ44" authorId="2" shapeId="0" xr:uid="{00000000-0006-0000-0100-000014000000}">
      <text>
        <r>
          <rPr>
            <sz val="9"/>
            <color indexed="81"/>
            <rFont val="Tahoma"/>
            <family val="2"/>
          </rPr>
          <t>Estimée à 10,6 %</t>
        </r>
      </text>
    </comment>
    <comment ref="KV44" authorId="2" shapeId="0" xr:uid="{00000000-0006-0000-0100-000015000000}">
      <text>
        <r>
          <rPr>
            <sz val="9"/>
            <color indexed="81"/>
            <rFont val="Tahoma"/>
            <family val="2"/>
          </rPr>
          <t>Estimée à 8,1 %</t>
        </r>
      </text>
    </comment>
    <comment ref="KQ45" authorId="2" shapeId="0" xr:uid="{00000000-0006-0000-0100-000016000000}">
      <text>
        <r>
          <rPr>
            <sz val="9"/>
            <color indexed="81"/>
            <rFont val="Tahoma"/>
            <family val="2"/>
          </rPr>
          <t>Estimée à 17,7 %</t>
        </r>
      </text>
    </comment>
    <comment ref="KV45" authorId="2" shapeId="0" xr:uid="{00000000-0006-0000-0100-000017000000}">
      <text>
        <r>
          <rPr>
            <sz val="9"/>
            <color indexed="81"/>
            <rFont val="Tahoma"/>
            <family val="2"/>
          </rPr>
          <t>Estimée à 2,8 %</t>
        </r>
      </text>
    </comment>
    <comment ref="AG54" authorId="0" shapeId="0" xr:uid="{00000000-0006-0000-0100-000018000000}">
      <text>
        <r>
          <rPr>
            <b/>
            <sz val="9"/>
            <color indexed="81"/>
            <rFont val="Tahoma"/>
            <family val="2"/>
          </rPr>
          <t>Marge de validation recommandée:</t>
        </r>
        <r>
          <rPr>
            <sz val="9"/>
            <color indexed="81"/>
            <rFont val="Tahoma"/>
            <family val="2"/>
          </rPr>
          <t xml:space="preserve">
Les données fournies par l'outil sont basées sur des moyennes québecoises. Il est donc normal qu'il y ait un écart entre vos données (si vous en avez saisies) et celles suggérées. La marge de validation considérée comme acceptable est indiquée au début de la page, à la section 2.1.</t>
        </r>
      </text>
    </comment>
    <comment ref="KC54" authorId="2" shapeId="0" xr:uid="{00000000-0006-0000-0100-000019000000}">
      <text>
        <r>
          <rPr>
            <sz val="9"/>
            <color indexed="81"/>
            <rFont val="Tahoma"/>
            <family val="2"/>
          </rPr>
          <t>Tonnage total annuel de la 3e voie (collecte combinée RV &amp; RA)</t>
        </r>
      </text>
    </comment>
    <comment ref="KQ54" authorId="4" shapeId="0" xr:uid="{00000000-0006-0000-0100-00001B000000}">
      <text>
        <r>
          <rPr>
            <sz val="9"/>
            <color indexed="81"/>
            <rFont val="Tahoma"/>
            <family val="2"/>
          </rPr>
          <t xml:space="preserve">Données estimées - Étude de caractérisation 2015-2018
</t>
        </r>
      </text>
    </comment>
    <comment ref="Q55" authorId="2" shapeId="0" xr:uid="{00000000-0006-0000-0100-00001C000000}">
      <text>
        <r>
          <rPr>
            <b/>
            <sz val="9"/>
            <color indexed="81"/>
            <rFont val="Tahoma"/>
            <family val="2"/>
          </rPr>
          <t>Récupéré:</t>
        </r>
        <r>
          <rPr>
            <sz val="9"/>
            <color indexed="81"/>
            <rFont val="Tahoma"/>
            <family val="2"/>
          </rPr>
          <t xml:space="preserve">
Les valeurs indiquées dans les résultats seront ajustées selon les informations concernant les composteurs domestiques (2.3.2.1.), l'herbicyclage (2.3.2.2.) et les rejets des centres de valorisation de la matière organique (2.3.3.).</t>
        </r>
      </text>
    </comment>
    <comment ref="V55" authorId="2" shapeId="0" xr:uid="{00000000-0006-0000-0100-00001D000000}">
      <text>
        <r>
          <rPr>
            <b/>
            <sz val="9"/>
            <color indexed="81"/>
            <rFont val="Tahoma"/>
            <family val="2"/>
          </rPr>
          <t>Généré:</t>
        </r>
        <r>
          <rPr>
            <sz val="9"/>
            <color indexed="81"/>
            <rFont val="Tahoma"/>
            <family val="2"/>
          </rPr>
          <t xml:space="preserve">
Les valeurs indiquées dans les résultats seront ajustées avec les informations des  rejets des centres de valorisation de la matière organique (2.3.3.).</t>
        </r>
      </text>
    </comment>
    <comment ref="AA55" authorId="2" shapeId="0" xr:uid="{00000000-0006-0000-0100-00001E000000}">
      <text>
        <r>
          <rPr>
            <b/>
            <sz val="9"/>
            <color indexed="81"/>
            <rFont val="Tahoma"/>
            <family val="2"/>
          </rPr>
          <t>Généré suggéré :</t>
        </r>
        <r>
          <rPr>
            <sz val="9"/>
            <color indexed="81"/>
            <rFont val="Tahoma"/>
            <family val="2"/>
          </rPr>
          <t xml:space="preserve">
En raison des particularités de chaque programme de collecte, notamment quant aux types de contenants utilisés, à la fréquence des collectes, aux catégories de matières organiques acceptées, etc., seules les quantités de matières organiques </t>
        </r>
        <r>
          <rPr>
            <b/>
            <sz val="9"/>
            <color indexed="81"/>
            <rFont val="Tahoma"/>
            <family val="2"/>
          </rPr>
          <t>générées</t>
        </r>
        <r>
          <rPr>
            <sz val="9"/>
            <color indexed="81"/>
            <rFont val="Tahoma"/>
            <family val="2"/>
          </rPr>
          <t xml:space="preserve"> peuvent être suggérées par l’outil. 
De plus, dans la version actuelle de l’outil, aucune estimation n’est possible en ce qui a trait aux quantités potentielles de branches et sapins de Noël récupérées, éliminées et générées.
</t>
        </r>
      </text>
    </comment>
    <comment ref="I56" authorId="2" shapeId="0" xr:uid="{00000000-0006-0000-0100-00001F000000}">
      <text>
        <r>
          <rPr>
            <sz val="9"/>
            <color indexed="81"/>
            <rFont val="Tahoma"/>
            <family val="2"/>
          </rPr>
          <t>Résidus d’émondage (branches) et sapins de Noël</t>
        </r>
      </text>
    </comment>
    <comment ref="Q56" authorId="1" shapeId="0" xr:uid="{60D11E85-9C75-4BA8-95FB-88E69290CD80}">
      <text>
        <r>
          <rPr>
            <sz val="9"/>
            <color indexed="81"/>
            <rFont val="Tahoma"/>
            <family val="2"/>
          </rPr>
          <t>En l'absence de donnée sur les branches et sapins récupérés, sachez qu'il n'est pas nécessaire d'entrer une valeur dans cette cellule, pour les fins de l'outil.</t>
        </r>
      </text>
    </comment>
    <comment ref="V56" authorId="2" shapeId="0" xr:uid="{00000000-0006-0000-0100-000020000000}">
      <text>
        <r>
          <rPr>
            <sz val="9"/>
            <color indexed="81"/>
            <rFont val="Tahoma"/>
            <family val="2"/>
          </rPr>
          <t xml:space="preserve">Si vous avez indiqué une quantité de branches et sapins récupérés, et à défaut de connaître les quantités générées sur votre territoire, veuillez indiquer, au minimum, votre tonnage récupéré dans cette cellule. </t>
        </r>
      </text>
    </comment>
    <comment ref="I57" authorId="2" shapeId="0" xr:uid="{00000000-0006-0000-0100-000021000000}">
      <text>
        <r>
          <rPr>
            <sz val="9"/>
            <color indexed="81"/>
            <rFont val="Tahoma"/>
            <family val="2"/>
          </rPr>
          <t>Résidus verts (feuilles et résidus de jardin)</t>
        </r>
      </text>
    </comment>
    <comment ref="Q57" authorId="2" shapeId="0" xr:uid="{00000000-0006-0000-0100-000022000000}">
      <text>
        <r>
          <rPr>
            <b/>
            <sz val="9"/>
            <color indexed="81"/>
            <rFont val="Tahoma"/>
            <family val="2"/>
          </rPr>
          <t>Résidus verts :</t>
        </r>
        <r>
          <rPr>
            <sz val="9"/>
            <color indexed="81"/>
            <rFont val="Tahoma"/>
            <family val="2"/>
          </rPr>
          <t xml:space="preserve">
Si une collecte spécifique et distincte de résidus verts est présente sur le territoire, veuillez ajouter le tonnage pour cette collecte au tonnage ventilé de résidus verts provenant d'une collecte combinée de résidus verts et alimentaires, s'il y a lieu.</t>
        </r>
      </text>
    </comment>
    <comment ref="V57" authorId="2" shapeId="0" xr:uid="{00000000-0006-0000-0100-000023000000}">
      <text>
        <r>
          <rPr>
            <sz val="9"/>
            <color indexed="81"/>
            <rFont val="Tahoma"/>
            <family val="2"/>
          </rPr>
          <t>À défaut de connaître les quantités générées (suite à la réalisation d'une étude de caractérisation par exemple), veuillez vous inspirer des quantités suggérées par l'outil, dans la colonne « Généré suggéré ».</t>
        </r>
      </text>
    </comment>
    <comment ref="KS57" authorId="4" shapeId="0" xr:uid="{00000000-0006-0000-0100-000026000000}">
      <text>
        <r>
          <rPr>
            <sz val="9"/>
            <color indexed="81"/>
            <rFont val="Tahoma"/>
            <family val="2"/>
          </rPr>
          <t>Estimée à 71.0%</t>
        </r>
      </text>
    </comment>
    <comment ref="V58" authorId="2" shapeId="0" xr:uid="{00000000-0006-0000-0100-000027000000}">
      <text>
        <r>
          <rPr>
            <sz val="9"/>
            <color indexed="81"/>
            <rFont val="Tahoma"/>
            <family val="2"/>
          </rPr>
          <t>À défaut de connaître les quantités générées (suite à la réalisation d'une étude de caractérisation par exemple), veuillez vous inspirer des quantités suggérées par l'outil, dans la colonne « Généré suggéré ».</t>
        </r>
      </text>
    </comment>
    <comment ref="KS58" authorId="4" shapeId="0" xr:uid="{00000000-0006-0000-0100-000028000000}">
      <text>
        <r>
          <rPr>
            <sz val="9"/>
            <color indexed="81"/>
            <rFont val="Tahoma"/>
            <family val="2"/>
          </rPr>
          <t>Estimée à 16.0%</t>
        </r>
        <r>
          <rPr>
            <sz val="9"/>
            <color indexed="81"/>
            <rFont val="Tahoma"/>
            <family val="2"/>
          </rPr>
          <t xml:space="preserve">
</t>
        </r>
      </text>
    </comment>
    <comment ref="I59" authorId="1" shapeId="0" xr:uid="{9D4A3527-D0AB-45C7-8F6F-7DBD734AD8F3}">
      <text>
        <r>
          <rPr>
            <sz val="9"/>
            <color indexed="81"/>
            <rFont val="Tahoma"/>
            <family val="2"/>
          </rPr>
          <t>Autres matières organiques domestiques potentiellement compostables, comme les papiers et cartons souillés (mouchoirs, essuie-tout, etc.)</t>
        </r>
      </text>
    </comment>
    <comment ref="V59" authorId="2" shapeId="0" xr:uid="{00000000-0006-0000-0100-000029000000}">
      <text>
        <r>
          <rPr>
            <sz val="9"/>
            <color indexed="81"/>
            <rFont val="Tahoma"/>
            <family val="2"/>
          </rPr>
          <t>À défaut de connaître les quantités générées (suite à la réalisation d'une étude de caractérisation par exemple), veuillez vous inspirer des quantités suggérées par l'outil, dans la colonne « Généré suggéré ».</t>
        </r>
      </text>
    </comment>
    <comment ref="KS59" authorId="4" shapeId="0" xr:uid="{00000000-0006-0000-0100-00002A000000}">
      <text>
        <r>
          <rPr>
            <sz val="9"/>
            <color indexed="81"/>
            <rFont val="Tahoma"/>
            <family val="2"/>
          </rPr>
          <t>Estimée à 13.0%</t>
        </r>
      </text>
    </comment>
    <comment ref="T66" authorId="2" shapeId="0" xr:uid="{00000000-0006-0000-0100-00002B000000}">
      <text>
        <r>
          <rPr>
            <b/>
            <sz val="9"/>
            <color indexed="81"/>
            <rFont val="Tahoma"/>
            <family val="2"/>
          </rPr>
          <t xml:space="preserve">Compostage domestique :
</t>
        </r>
        <r>
          <rPr>
            <sz val="9"/>
            <color indexed="81"/>
            <rFont val="Tahoma"/>
            <family val="2"/>
          </rPr>
          <t xml:space="preserve">Cochez si OUI ou NON, il y a la présence de composteurs domestiques sur le territoire
</t>
        </r>
      </text>
    </comment>
    <comment ref="AA67" authorId="2" shapeId="0" xr:uid="{00000000-0006-0000-0100-00002C000000}">
      <text>
        <r>
          <rPr>
            <b/>
            <sz val="9"/>
            <color indexed="81"/>
            <rFont val="Tahoma"/>
            <family val="2"/>
          </rPr>
          <t xml:space="preserve">Compostage domestique :
</t>
        </r>
        <r>
          <rPr>
            <sz val="9"/>
            <color indexed="81"/>
            <rFont val="Tahoma"/>
            <family val="2"/>
          </rPr>
          <t>Inscrire le nombre d'unités de compostage présentes sur le territoire</t>
        </r>
      </text>
    </comment>
    <comment ref="T69" authorId="2" shapeId="0" xr:uid="{00000000-0006-0000-0100-00002D000000}">
      <text>
        <r>
          <rPr>
            <b/>
            <sz val="9"/>
            <color indexed="81"/>
            <rFont val="Tahoma"/>
            <family val="2"/>
          </rPr>
          <t xml:space="preserve">Herbicyclage :
</t>
        </r>
        <r>
          <rPr>
            <sz val="9"/>
            <color indexed="81"/>
            <rFont val="Tahoma"/>
            <family val="2"/>
          </rPr>
          <t>Cochez si OUI ou NON l'herbicyclage est stimulé dans votre région. 
Si l'herbicyclage y est stimulé, cochez si OUI ou NON les moyens suivants de l'inciter sont en place.</t>
        </r>
      </text>
    </comment>
    <comment ref="V70" authorId="2" shapeId="0" xr:uid="{00000000-0006-0000-0100-00002E000000}">
      <text>
        <r>
          <rPr>
            <b/>
            <sz val="9"/>
            <color indexed="81"/>
            <rFont val="Tahoma"/>
            <family val="2"/>
          </rPr>
          <t xml:space="preserve">Herbicyclage :
</t>
        </r>
        <r>
          <rPr>
            <sz val="9"/>
            <color indexed="81"/>
            <rFont val="Tahoma"/>
            <family val="2"/>
          </rPr>
          <t xml:space="preserve">Cochez si OUI ou NON, des campagnes de sensibilisation sont réalisées auprès de la population
</t>
        </r>
      </text>
    </comment>
    <comment ref="AI71" authorId="2" shapeId="0" xr:uid="{00000000-0006-0000-0100-00002F000000}">
      <text>
        <r>
          <rPr>
            <b/>
            <sz val="9"/>
            <color indexed="81"/>
            <rFont val="Tahoma"/>
            <family val="2"/>
          </rPr>
          <t xml:space="preserve">Herbicyclage :
</t>
        </r>
        <r>
          <rPr>
            <sz val="9"/>
            <color indexed="81"/>
            <rFont val="Tahoma"/>
            <family val="2"/>
          </rPr>
          <t>Cochez si OUI ou NON, il y a une réglementation interdisant le gazon dans la collecte des résidus verts</t>
        </r>
      </text>
    </comment>
    <comment ref="AI72" authorId="2" shapeId="0" xr:uid="{00000000-0006-0000-0100-000030000000}">
      <text>
        <r>
          <rPr>
            <b/>
            <sz val="9"/>
            <color indexed="81"/>
            <rFont val="Tahoma"/>
            <family val="2"/>
          </rPr>
          <t xml:space="preserve">Herbicyclage :
</t>
        </r>
        <r>
          <rPr>
            <sz val="9"/>
            <color indexed="81"/>
            <rFont val="Tahoma"/>
            <family val="2"/>
          </rPr>
          <t xml:space="preserve">Cochez si OUI ou NON, il y a une réglementation interdisant le gazon dans la collecte des ordures ménagères
</t>
        </r>
      </text>
    </comment>
    <comment ref="K74" authorId="2" shapeId="0" xr:uid="{00000000-0006-0000-0100-000031000000}">
      <text>
        <r>
          <rPr>
            <sz val="9"/>
            <color indexed="81"/>
            <rFont val="Tahoma"/>
            <family val="2"/>
          </rPr>
          <t xml:space="preserve">Veuillez inscrire la source de votre donnée à l'endroit prévu à cet effet en bas de la page 
</t>
        </r>
      </text>
    </comment>
    <comment ref="AM78" authorId="2" shapeId="0" xr:uid="{00000000-0006-0000-0100-000032000000}">
      <text>
        <r>
          <rPr>
            <b/>
            <sz val="9"/>
            <color indexed="81"/>
            <rFont val="Tahoma"/>
            <family val="2"/>
          </rPr>
          <t>Maladies et parasites :</t>
        </r>
        <r>
          <rPr>
            <sz val="9"/>
            <color indexed="81"/>
            <rFont val="Tahoma"/>
            <family val="2"/>
          </rPr>
          <t xml:space="preserve">
Cliquez si OUI ou NON, il y eu abattage d’arbres au cours de l'année de référence, en raison d’une problématique particulière liée à certaines maladies ou parasites (insectes ex. agrile du frêne) sur le territoire de la MRC ? Si oui, il est conseillé de documenter cet aspect dans le PGMR.</t>
        </r>
      </text>
    </comment>
    <comment ref="Y90" authorId="2" shapeId="0" xr:uid="{00000000-0006-0000-0100-000033000000}">
      <text>
        <r>
          <rPr>
            <b/>
            <sz val="9"/>
            <color indexed="81"/>
            <rFont val="Tahoma"/>
            <family val="2"/>
          </rPr>
          <t xml:space="preserve">Stations d'épuration mécanisées : </t>
        </r>
        <r>
          <rPr>
            <sz val="9"/>
            <color indexed="81"/>
            <rFont val="Tahoma"/>
            <family val="2"/>
          </rPr>
          <t>Cochez si OUI ou NON, il y a présence de stations d'épuration des eaux de type « mécanisées » sur le territoire ?</t>
        </r>
      </text>
    </comment>
    <comment ref="J94" authorId="1" shapeId="0" xr:uid="{165894B1-990F-459C-9D02-A21BE0F4EBD3}">
      <text>
        <r>
          <rPr>
            <sz val="9"/>
            <color indexed="81"/>
            <rFont val="Tahoma"/>
            <family val="2"/>
          </rPr>
          <t>Sachez qu'il n'est pas nécessaire d'entrer une valeur dans la cellule "Numérotation des stations", pour les fins de l'outil. Cette colonne est pour votre usage.</t>
        </r>
      </text>
    </comment>
    <comment ref="AE94" authorId="1" shapeId="0" xr:uid="{185C8FD1-13F3-4811-BC22-6E7CAC0BF94E}">
      <text>
        <r>
          <rPr>
            <b/>
            <sz val="9"/>
            <color indexed="81"/>
            <rFont val="Tahoma"/>
            <family val="2"/>
          </rPr>
          <t xml:space="preserve">Siccité : </t>
        </r>
        <r>
          <rPr>
            <sz val="9"/>
            <color indexed="81"/>
            <rFont val="Tahoma"/>
            <family val="2"/>
          </rPr>
          <t>La siccité d’une boue est le pourcentage massique de matière sèche qu’elle contient.</t>
        </r>
      </text>
    </comment>
    <comment ref="AE103" authorId="2" shapeId="0" xr:uid="{00000000-0006-0000-0100-000034000000}">
      <text>
        <r>
          <rPr>
            <b/>
            <sz val="9"/>
            <color indexed="81"/>
            <rFont val="Tahoma"/>
            <family val="2"/>
          </rPr>
          <t xml:space="preserve">Autres effluents traités :
</t>
        </r>
        <r>
          <rPr>
            <sz val="9"/>
            <color indexed="81"/>
            <rFont val="Tahoma"/>
            <family val="2"/>
          </rPr>
          <t>Cochez si OUI ou NON, si une ou plusieurs stations reçoivent des effluents autres que municipaux (effluents liquides d'industries agroalimentaires : abattoirs, fromagerie, etc.) ou de l'extérieur du territoire.</t>
        </r>
      </text>
    </comment>
    <comment ref="AC110" authorId="2" shapeId="0" xr:uid="{00000000-0006-0000-0100-000035000000}">
      <text>
        <r>
          <rPr>
            <b/>
            <sz val="9"/>
            <color indexed="81"/>
            <rFont val="Tahoma"/>
            <family val="2"/>
          </rPr>
          <t xml:space="preserve">Étangs aérés : 
</t>
        </r>
        <r>
          <rPr>
            <sz val="9"/>
            <color indexed="81"/>
            <rFont val="Tahoma"/>
            <family val="2"/>
          </rPr>
          <t>Cochez si OUI ou NON, il y a présence de stations de traitement des eaux de type « étangs aérés » sur le territoire ?</t>
        </r>
      </text>
    </comment>
    <comment ref="J114" authorId="1" shapeId="0" xr:uid="{D9C3C17D-483D-4341-935C-3F0C4B8A5D68}">
      <text>
        <r>
          <rPr>
            <sz val="9"/>
            <color indexed="81"/>
            <rFont val="Tahoma"/>
            <family val="2"/>
          </rPr>
          <t>Sachez qu'il n'est pas nécessaire d'entrer une valeur dans la cellule "Numérotation des étangs", pour les fins de l'outil. Cette colonne est pour votre usage.</t>
        </r>
      </text>
    </comment>
    <comment ref="AE114" authorId="2" shapeId="0" xr:uid="{00000000-0006-0000-0100-000036000000}">
      <text>
        <r>
          <rPr>
            <b/>
            <sz val="9"/>
            <color indexed="81"/>
            <rFont val="Tahoma"/>
            <family val="2"/>
          </rPr>
          <t xml:space="preserve">Siccité :
</t>
        </r>
        <r>
          <rPr>
            <sz val="9"/>
            <color indexed="81"/>
            <rFont val="Tahoma"/>
            <family val="2"/>
          </rPr>
          <t>Préciser la siccité (%)  après le traitement de déshydratation. 
La siccité d’une boue est le pourcentage massique de matière sèche qu’elle contient.</t>
        </r>
      </text>
    </comment>
    <comment ref="Y116" authorId="2" shapeId="0" xr:uid="{00000000-0006-0000-0100-000037000000}">
      <text>
        <r>
          <rPr>
            <b/>
            <sz val="9"/>
            <color indexed="81"/>
            <rFont val="Tahoma"/>
            <family val="2"/>
          </rPr>
          <t xml:space="preserve">Quantité de boues générées : 
</t>
        </r>
        <r>
          <rPr>
            <sz val="9"/>
            <color indexed="81"/>
            <rFont val="Tahoma"/>
            <family val="2"/>
          </rPr>
          <t>Indiquez la quantité totale de boues vidangées qui ont été soit recyclées ou éliminées (excluant le secteur industriel et les boues provenant d'autres municipalités ou MRC, lorsqu’applicable)</t>
        </r>
      </text>
    </comment>
    <comment ref="AE116" authorId="2" shapeId="0" xr:uid="{00000000-0006-0000-0100-000038000000}">
      <text>
        <r>
          <rPr>
            <b/>
            <sz val="9"/>
            <color indexed="81"/>
            <rFont val="Tahoma"/>
            <family val="2"/>
          </rPr>
          <t xml:space="preserve">Siccité :
</t>
        </r>
        <r>
          <rPr>
            <sz val="9"/>
            <color indexed="81"/>
            <rFont val="Tahoma"/>
            <family val="2"/>
          </rPr>
          <t>Préciser la siccité (%) après le traitement de déshydratation</t>
        </r>
      </text>
    </comment>
    <comment ref="Y117" authorId="2" shapeId="0" xr:uid="{00000000-0006-0000-0100-000039000000}">
      <text>
        <r>
          <rPr>
            <b/>
            <sz val="9"/>
            <color indexed="81"/>
            <rFont val="Tahoma"/>
            <family val="2"/>
          </rPr>
          <t xml:space="preserve">Quantité de boues générées : 
</t>
        </r>
        <r>
          <rPr>
            <sz val="9"/>
            <color indexed="81"/>
            <rFont val="Tahoma"/>
            <family val="2"/>
          </rPr>
          <t>Indiquez la quantité totale de boues vidangées qui ont été soit recyclées ou éliminées (excluant le secteur industriel et les boues provenant d'autres municipalités ou MRC, lorsqu’applicable)</t>
        </r>
      </text>
    </comment>
    <comment ref="AE117" authorId="2" shapeId="0" xr:uid="{00000000-0006-0000-0100-00003A000000}">
      <text>
        <r>
          <rPr>
            <b/>
            <sz val="9"/>
            <color indexed="81"/>
            <rFont val="Tahoma"/>
            <family val="2"/>
          </rPr>
          <t xml:space="preserve">Siccité :
</t>
        </r>
        <r>
          <rPr>
            <sz val="9"/>
            <color indexed="81"/>
            <rFont val="Tahoma"/>
            <family val="2"/>
          </rPr>
          <t>Préciser la siccité (%) après le traitement de déshydratation</t>
        </r>
      </text>
    </comment>
    <comment ref="Y118" authorId="2" shapeId="0" xr:uid="{00000000-0006-0000-0100-00003B000000}">
      <text>
        <r>
          <rPr>
            <b/>
            <sz val="9"/>
            <color indexed="81"/>
            <rFont val="Tahoma"/>
            <family val="2"/>
          </rPr>
          <t>Quantité de boues générées :</t>
        </r>
        <r>
          <rPr>
            <sz val="9"/>
            <color indexed="81"/>
            <rFont val="Tahoma"/>
            <family val="2"/>
          </rPr>
          <t xml:space="preserve"> 
Indiquez la quantité totale de boues vidangées qui ont été soit recyclées ou éliminées (excluant le secteur industriel et les boues provenant d'autres municipalités ou MRC, lorsqu’applicable)</t>
        </r>
      </text>
    </comment>
    <comment ref="AE118" authorId="2" shapeId="0" xr:uid="{00000000-0006-0000-0100-00003C000000}">
      <text>
        <r>
          <rPr>
            <b/>
            <sz val="9"/>
            <color indexed="81"/>
            <rFont val="Tahoma"/>
            <family val="2"/>
          </rPr>
          <t xml:space="preserve">Siccité :
</t>
        </r>
        <r>
          <rPr>
            <sz val="9"/>
            <color indexed="81"/>
            <rFont val="Tahoma"/>
            <family val="2"/>
          </rPr>
          <t>Préciser la siccité (%) après le traitement de déshydratation</t>
        </r>
      </text>
    </comment>
    <comment ref="Y119" authorId="2" shapeId="0" xr:uid="{00000000-0006-0000-0100-00003D000000}">
      <text>
        <r>
          <rPr>
            <b/>
            <sz val="9"/>
            <color indexed="81"/>
            <rFont val="Tahoma"/>
            <family val="2"/>
          </rPr>
          <t xml:space="preserve">Quantité de boues générées : </t>
        </r>
        <r>
          <rPr>
            <sz val="9"/>
            <color indexed="81"/>
            <rFont val="Tahoma"/>
            <family val="2"/>
          </rPr>
          <t xml:space="preserve">
Indiquez la quantité totale de boues vidangées qui ont été soit recyclées ou éliminées (excluant le secteur industriel et les boues provenant d'autres municipalités ou MRC, lorsqu’applicable)</t>
        </r>
      </text>
    </comment>
    <comment ref="AE119" authorId="2" shapeId="0" xr:uid="{00000000-0006-0000-0100-00003E000000}">
      <text>
        <r>
          <rPr>
            <b/>
            <sz val="9"/>
            <color indexed="81"/>
            <rFont val="Tahoma"/>
            <family val="2"/>
          </rPr>
          <t xml:space="preserve">Siccité :
</t>
        </r>
        <r>
          <rPr>
            <sz val="9"/>
            <color indexed="81"/>
            <rFont val="Tahoma"/>
            <family val="2"/>
          </rPr>
          <t>Préciser la siccité (%) après le traitement de déshydratation</t>
        </r>
      </text>
    </comment>
    <comment ref="Y120" authorId="2" shapeId="0" xr:uid="{00000000-0006-0000-0100-00003F000000}">
      <text>
        <r>
          <rPr>
            <b/>
            <sz val="9"/>
            <color indexed="81"/>
            <rFont val="Tahoma"/>
            <family val="2"/>
          </rPr>
          <t xml:space="preserve">Quantité de boues générées : </t>
        </r>
        <r>
          <rPr>
            <sz val="9"/>
            <color indexed="81"/>
            <rFont val="Tahoma"/>
            <family val="2"/>
          </rPr>
          <t xml:space="preserve">
Indiquez la quantité totale de boues vidangées qui ont été soit recyclées ou éliminées (excluant le secteur industriel et les boues provenant d'autres municipalités ou MRC, lorsqu’applicable)</t>
        </r>
      </text>
    </comment>
    <comment ref="AE120" authorId="2" shapeId="0" xr:uid="{00000000-0006-0000-0100-000040000000}">
      <text>
        <r>
          <rPr>
            <b/>
            <sz val="9"/>
            <color indexed="81"/>
            <rFont val="Tahoma"/>
            <family val="2"/>
          </rPr>
          <t xml:space="preserve">Siccité :
</t>
        </r>
        <r>
          <rPr>
            <sz val="9"/>
            <color indexed="81"/>
            <rFont val="Tahoma"/>
            <family val="2"/>
          </rPr>
          <t>Préciser la siccité (%) après le traitement de déshydratation</t>
        </r>
      </text>
    </comment>
    <comment ref="Y121" authorId="2" shapeId="0" xr:uid="{00000000-0006-0000-0100-000041000000}">
      <text>
        <r>
          <rPr>
            <b/>
            <sz val="9"/>
            <color indexed="81"/>
            <rFont val="Tahoma"/>
            <family val="2"/>
          </rPr>
          <t xml:space="preserve">Quantité de boues générées : </t>
        </r>
        <r>
          <rPr>
            <sz val="9"/>
            <color indexed="81"/>
            <rFont val="Tahoma"/>
            <family val="2"/>
          </rPr>
          <t xml:space="preserve">
Indiquez la quantité totale de boues vidangées qui ont été soit recyclées ou éliminées (excluant le secteur industriel et les boues provenant d'autres municipalités ou MRC, lorsqu’applicable)</t>
        </r>
      </text>
    </comment>
    <comment ref="AE121" authorId="2" shapeId="0" xr:uid="{00000000-0006-0000-0100-000042000000}">
      <text>
        <r>
          <rPr>
            <b/>
            <sz val="9"/>
            <color indexed="81"/>
            <rFont val="Tahoma"/>
            <family val="2"/>
          </rPr>
          <t xml:space="preserve">Siccité :
</t>
        </r>
        <r>
          <rPr>
            <sz val="9"/>
            <color indexed="81"/>
            <rFont val="Tahoma"/>
            <family val="2"/>
          </rPr>
          <t>Préciser la siccité (%) après le traitement de déshydratation</t>
        </r>
      </text>
    </comment>
    <comment ref="AC123" authorId="2" shapeId="0" xr:uid="{00000000-0006-0000-0100-000043000000}">
      <text>
        <r>
          <rPr>
            <b/>
            <sz val="9"/>
            <color indexed="81"/>
            <rFont val="Tahoma"/>
            <family val="2"/>
          </rPr>
          <t xml:space="preserve">Nature des boues municipales traitées : 
</t>
        </r>
        <r>
          <rPr>
            <sz val="9"/>
            <color indexed="81"/>
            <rFont val="Tahoma"/>
            <family val="2"/>
          </rPr>
          <t>Cochez si OUI ou NON, les quantités de boues fournies précédemment incluent une proportion de boues provenant d'ICI (ex : parc industriel, trappe à graisse, etc.) ou de l'extérieur du territoire. On ne parle pas ici d'effluents liquides (réseau d'égouts), mais bien de boues acheminées par camion directement aux stations de traitement.</t>
        </r>
      </text>
    </comment>
    <comment ref="AV133" authorId="2" shapeId="0" xr:uid="{00000000-0006-0000-0100-000044000000}">
      <text>
        <r>
          <rPr>
            <b/>
            <sz val="9"/>
            <color indexed="81"/>
            <rFont val="Tahoma"/>
            <family val="2"/>
          </rPr>
          <t xml:space="preserve">Boues de fosses septiques :
</t>
        </r>
        <r>
          <rPr>
            <sz val="9"/>
            <color indexed="81"/>
            <rFont val="Tahoma"/>
            <family val="2"/>
          </rPr>
          <t xml:space="preserve">Cochez si OUI ou NON, il y a des fosses septiques du territoire dont les boues ont été traitées ailleurs que dans l’une des stations mécanisées ou l’un des étangs aérés de ce territoire. </t>
        </r>
      </text>
    </comment>
    <comment ref="Z134" authorId="2" shapeId="0" xr:uid="{00000000-0006-0000-0100-000045000000}">
      <text>
        <r>
          <rPr>
            <b/>
            <sz val="9"/>
            <color indexed="81"/>
            <rFont val="Tahoma"/>
            <family val="2"/>
          </rPr>
          <t xml:space="preserve">Résidences isolées : 
</t>
        </r>
        <r>
          <rPr>
            <sz val="9"/>
            <color indexed="81"/>
            <rFont val="Tahoma"/>
            <family val="2"/>
          </rPr>
          <t>Inscrire le nombre de résidences isolées ou le nombre de fosses septiques dont les boues n'ont pas été envoyées aux stations de traitement indiquées ci-dessus.</t>
        </r>
      </text>
    </comment>
    <comment ref="U135" authorId="2" shapeId="0" xr:uid="{00000000-0006-0000-0100-000046000000}">
      <text>
        <r>
          <rPr>
            <sz val="9"/>
            <color indexed="81"/>
            <rFont val="Tahoma"/>
            <family val="2"/>
          </rPr>
          <t xml:space="preserve">Précisez le taux de recyclage (%) moyen de ces boues (compostage, épandage ou biométhanisation)
</t>
        </r>
      </text>
    </comment>
    <comment ref="AB139" authorId="0" shapeId="0" xr:uid="{00000000-0006-0000-0100-000047000000}">
      <text>
        <r>
          <rPr>
            <b/>
            <sz val="9"/>
            <color indexed="81"/>
            <rFont val="Tahoma"/>
            <family val="2"/>
          </rPr>
          <t xml:space="preserve">Données à utiliser :
</t>
        </r>
        <r>
          <rPr>
            <sz val="9"/>
            <color indexed="81"/>
            <rFont val="Tahoma"/>
            <family val="2"/>
          </rPr>
          <t xml:space="preserve">Indiquez la source des données à utiliser dans les résultats. Si vous utilisez vos propres données, assurez-vous de remplir toutes les cases orange, et assurez-vous qu'elles soient complètes et vérifiables. Au besoin, copiez les données suggérées par l'outil. </t>
        </r>
      </text>
    </comment>
    <comment ref="K145" authorId="1" shapeId="0" xr:uid="{355A1C0B-B48D-428E-A27C-F4C3C0F6FB1E}">
      <text>
        <r>
          <rPr>
            <b/>
            <sz val="9"/>
            <color indexed="81"/>
            <rFont val="Tahoma"/>
            <family val="2"/>
          </rPr>
          <t xml:space="preserve">Estimation globale de boues : </t>
        </r>
        <r>
          <rPr>
            <sz val="9"/>
            <color indexed="81"/>
            <rFont val="Tahoma"/>
            <family val="2"/>
          </rPr>
          <t>Cette estimation s'appuie sur des moyennes québécoises. Sa comparaison avec vos données réelles demeure limitée, en particulier parce que la quantité de boue vidangée ne correspond pas nécessairement à la quantité générée sur un an, notamment lorsque les fréquences de vidange des étangs aérés et des fosses septiques sur votre territoire ne sont pas annuelles (aux deux ans ou plus).</t>
        </r>
      </text>
    </comment>
    <comment ref="AE150" authorId="2" shapeId="0" xr:uid="{00000000-0006-0000-0100-000048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AB159" authorId="0" shapeId="0" xr:uid="{00000000-0006-0000-0100-000049000000}">
      <text>
        <r>
          <rPr>
            <b/>
            <sz val="9"/>
            <color indexed="81"/>
            <rFont val="Tahoma"/>
            <family val="2"/>
          </rPr>
          <t xml:space="preserve">Données à utiliser :
</t>
        </r>
        <r>
          <rPr>
            <sz val="9"/>
            <color indexed="81"/>
            <rFont val="Tahoma"/>
            <family val="2"/>
          </rPr>
          <t>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text>
    </comment>
    <comment ref="V164" authorId="2" shapeId="0" xr:uid="{00000000-0006-0000-0100-00004A000000}">
      <text>
        <r>
          <rPr>
            <b/>
            <sz val="9"/>
            <color indexed="81"/>
            <rFont val="Tahoma"/>
            <family val="2"/>
          </rPr>
          <t xml:space="preserve">Véhicules hors d'usage :
</t>
        </r>
        <r>
          <rPr>
            <sz val="9"/>
            <color indexed="81"/>
            <rFont val="Tahoma"/>
            <family val="2"/>
          </rPr>
          <t>Les données éliminées sont traitées dans l'onglet "Données ICI"</t>
        </r>
      </text>
    </comment>
    <comment ref="AE166" authorId="2" shapeId="0" xr:uid="{00000000-0006-0000-0100-00004B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AB175" authorId="0" shapeId="0" xr:uid="{00000000-0006-0000-0100-00004C000000}">
      <text>
        <r>
          <rPr>
            <b/>
            <sz val="9"/>
            <color indexed="81"/>
            <rFont val="Tahoma"/>
            <family val="2"/>
          </rPr>
          <t xml:space="preserve">Données à utiliser :
</t>
        </r>
        <r>
          <rPr>
            <sz val="9"/>
            <color indexed="81"/>
            <rFont val="Tahoma"/>
            <family val="2"/>
          </rPr>
          <t>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text>
    </comment>
    <comment ref="KS180" authorId="4" shapeId="0" xr:uid="{00000000-0006-0000-0100-00004D000000}">
      <text>
        <r>
          <rPr>
            <sz val="9"/>
            <color indexed="81"/>
            <rFont val="Tahoma"/>
            <family val="2"/>
          </rPr>
          <t>Donnée estimée - Étude de caractérisation 2015-2018
3.8%</t>
        </r>
      </text>
    </comment>
    <comment ref="AE182" authorId="2" shapeId="0" xr:uid="{00000000-0006-0000-0100-00004E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L193" authorId="2" shapeId="0" xr:uid="{00000000-0006-0000-0100-00004F000000}">
      <text>
        <r>
          <rPr>
            <sz val="9"/>
            <color indexed="81"/>
            <rFont val="Tahoma"/>
            <family val="2"/>
          </rPr>
          <t xml:space="preserve">Veuillez inscrire la source de votre donnée à l'endroit prévu à cet effet en bas de la page. 
</t>
        </r>
      </text>
    </comment>
    <comment ref="AM199" authorId="0" shapeId="0" xr:uid="{00000000-0006-0000-0100-000050000000}">
      <text>
        <r>
          <rPr>
            <b/>
            <sz val="9"/>
            <color indexed="81"/>
            <rFont val="Tahoma"/>
            <family val="2"/>
          </rPr>
          <t xml:space="preserve">Données à utiliser :
</t>
        </r>
        <r>
          <rPr>
            <sz val="9"/>
            <color indexed="81"/>
            <rFont val="Tahoma"/>
            <family val="2"/>
          </rPr>
          <t>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r>
          <rPr>
            <b/>
            <sz val="9"/>
            <color indexed="81"/>
            <rFont val="Tahoma"/>
            <family val="2"/>
          </rPr>
          <t xml:space="preserve">
</t>
        </r>
      </text>
    </comment>
    <comment ref="BI204" authorId="2" shapeId="0" xr:uid="{00000000-0006-0000-0100-000051000000}">
      <text>
        <r>
          <rPr>
            <b/>
            <sz val="9"/>
            <color indexed="81"/>
            <rFont val="Tahoma"/>
            <family val="2"/>
          </rPr>
          <t>Résidus domestiques dangereux (RDD)</t>
        </r>
        <r>
          <rPr>
            <sz val="9"/>
            <color indexed="81"/>
            <rFont val="Tahoma"/>
            <family val="2"/>
          </rPr>
          <t xml:space="preserve">
</t>
        </r>
      </text>
    </comment>
    <comment ref="CV205" authorId="2" shapeId="0" xr:uid="{00000000-0006-0000-0100-000052000000}">
      <text>
        <r>
          <rPr>
            <b/>
            <sz val="9"/>
            <color indexed="81"/>
            <rFont val="Tahoma"/>
            <family val="2"/>
          </rPr>
          <t>Il n'y a pas de calculé par l'outil dans ce cas.</t>
        </r>
        <r>
          <rPr>
            <sz val="9"/>
            <color indexed="81"/>
            <rFont val="Tahoma"/>
            <family val="2"/>
          </rPr>
          <t xml:space="preserve">
</t>
        </r>
      </text>
    </comment>
    <comment ref="AG209" authorId="2" shapeId="0" xr:uid="{00000000-0006-0000-0100-000053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AC215" authorId="0" shapeId="0" xr:uid="{00000000-0006-0000-0100-000054000000}">
      <text>
        <r>
          <rPr>
            <b/>
            <sz val="9"/>
            <color indexed="81"/>
            <rFont val="Tahoma"/>
            <family val="2"/>
          </rPr>
          <t xml:space="preserve">Données à utiliser :
</t>
        </r>
        <r>
          <rPr>
            <sz val="9"/>
            <color indexed="81"/>
            <rFont val="Tahoma"/>
            <family val="2"/>
          </rPr>
          <t xml:space="preserve">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
</t>
        </r>
      </text>
    </comment>
    <comment ref="BI220" authorId="2" shapeId="0" xr:uid="{00000000-0006-0000-0100-000055000000}">
      <text>
        <r>
          <rPr>
            <b/>
            <sz val="9"/>
            <color indexed="81"/>
            <rFont val="Tahoma"/>
            <family val="2"/>
          </rPr>
          <t>Résidus domestiques dangereux (RDD)</t>
        </r>
        <r>
          <rPr>
            <sz val="9"/>
            <color indexed="81"/>
            <rFont val="Tahoma"/>
            <family val="2"/>
          </rPr>
          <t xml:space="preserve">
</t>
        </r>
      </text>
    </comment>
    <comment ref="Q221" authorId="1" shapeId="0" xr:uid="{D85901CF-45E8-4001-AD76-7B0363CBF6F6}">
      <text>
        <r>
          <rPr>
            <b/>
            <sz val="9"/>
            <color indexed="81"/>
            <rFont val="Tahoma"/>
            <family val="2"/>
          </rPr>
          <t xml:space="preserve">RDD récupérés : </t>
        </r>
        <r>
          <rPr>
            <sz val="9"/>
            <color indexed="81"/>
            <rFont val="Tahoma"/>
            <family val="2"/>
          </rPr>
          <t xml:space="preserve">En raison du manque de données existantes portant sur la récupération des différents types de RDD, l’outil ne peut faire aucune estimation des quantités de RDD récupérées. Il effectue toutefois l’estimation des quantités éliminées de RDD.
</t>
        </r>
      </text>
    </comment>
    <comment ref="AH221" authorId="1" shapeId="0" xr:uid="{00C18A2E-03C5-45E8-A43C-66FA05312325}">
      <text>
        <r>
          <rPr>
            <b/>
            <sz val="9"/>
            <color indexed="81"/>
            <rFont val="Tahoma"/>
            <family val="2"/>
          </rPr>
          <t xml:space="preserve">Rappel : </t>
        </r>
        <r>
          <rPr>
            <sz val="9"/>
            <color indexed="81"/>
            <rFont val="Tahoma"/>
            <family val="2"/>
          </rPr>
          <t>Les RDD visés par la responsabilité élargie des producteurs font partie des matières dont la mise à jour est facultative pour les fins de l'inventaire.</t>
        </r>
      </text>
    </comment>
    <comment ref="AP221" authorId="1" shapeId="0" xr:uid="{1D9A02D6-ADBC-4DF9-A7B1-03D2C28BE4BA}">
      <text>
        <r>
          <rPr>
            <b/>
            <sz val="9"/>
            <color indexed="81"/>
            <rFont val="Tahoma"/>
            <charset val="1"/>
          </rPr>
          <t>RDD récupérés :</t>
        </r>
        <r>
          <rPr>
            <sz val="9"/>
            <color indexed="81"/>
            <rFont val="Tahoma"/>
            <family val="2"/>
          </rPr>
          <t xml:space="preserve"> Il est recommandé de présenter dans l'inventaire l'ensemble des quantités connues de RDD récupérés sur le territoire durant l'année de référence. </t>
        </r>
      </text>
    </comment>
    <comment ref="KS221" authorId="2" shapeId="0" xr:uid="{00000000-0006-0000-0100-000058000000}">
      <text>
        <r>
          <rPr>
            <sz val="9"/>
            <color indexed="81"/>
            <rFont val="Tahoma"/>
            <family val="2"/>
          </rPr>
          <t>Donnée estimée - Étude de caractérisation 2015-2018 : 1.3%</t>
        </r>
      </text>
    </comment>
    <comment ref="I222" authorId="0" shapeId="0" xr:uid="{00000000-0006-0000-0100-000059000000}">
      <text>
        <r>
          <rPr>
            <b/>
            <sz val="9"/>
            <color indexed="81"/>
            <rFont val="Tahoma"/>
            <family val="2"/>
          </rPr>
          <t>Encombrants :</t>
        </r>
        <r>
          <rPr>
            <sz val="9"/>
            <color indexed="81"/>
            <rFont val="Tahoma"/>
            <family val="2"/>
          </rPr>
          <t xml:space="preserve"> Matières résiduelles non industrielles qui, à cause de leur taille, de leur volume ou de leur poids, ne sont pas ramassées lors de la collecte sélective des ordures ménagères ou des matières résiduelles. </t>
        </r>
      </text>
    </comment>
    <comment ref="AH222" authorId="0" shapeId="0" xr:uid="{00000000-0006-0000-0100-00005A000000}">
      <text>
        <r>
          <rPr>
            <b/>
            <sz val="9"/>
            <color indexed="81"/>
            <rFont val="Tahoma"/>
            <family val="2"/>
          </rPr>
          <t>Encombrants :</t>
        </r>
        <r>
          <rPr>
            <sz val="9"/>
            <color indexed="81"/>
            <rFont val="Tahoma"/>
            <family val="2"/>
          </rPr>
          <t xml:space="preserve"> Matières résiduelles non industrielles qui, à cause de leur taille, de leur volume ou de leur poids, ne sont pas ramassées lors de la collecte sélective des ordures ménagères ou des matières résiduelles.</t>
        </r>
      </text>
    </comment>
    <comment ref="J223" authorId="1" shapeId="0" xr:uid="{335F94B8-5619-420D-874B-C7A723FF5CD7}">
      <text>
        <r>
          <rPr>
            <b/>
            <sz val="9"/>
            <color indexed="81"/>
            <rFont val="Tahoma"/>
            <family val="2"/>
          </rPr>
          <t>Encombrants métalliques :</t>
        </r>
        <r>
          <rPr>
            <sz val="9"/>
            <color indexed="81"/>
            <rFont val="Tahoma"/>
            <family val="2"/>
          </rPr>
          <t xml:space="preserve"> ex. gros électroménagers, chauffe-eau, barbecues, meubles en métal</t>
        </r>
      </text>
    </comment>
    <comment ref="AI223" authorId="1" shapeId="0" xr:uid="{F7D16F8D-AA16-4E7A-A6B2-4B13C1AC3F51}">
      <text>
        <r>
          <rPr>
            <b/>
            <sz val="9"/>
            <color indexed="81"/>
            <rFont val="Tahoma"/>
            <family val="2"/>
          </rPr>
          <t>Encombrants métalliques :</t>
        </r>
        <r>
          <rPr>
            <sz val="9"/>
            <color indexed="81"/>
            <rFont val="Tahoma"/>
            <family val="2"/>
          </rPr>
          <t xml:space="preserve"> ex. gros électroménagers, chauffe-eau, barbecues, meubles en métal</t>
        </r>
      </text>
    </comment>
    <comment ref="KS223" authorId="2" shapeId="0" xr:uid="{00000000-0006-0000-0100-00005B000000}">
      <text>
        <r>
          <rPr>
            <sz val="9"/>
            <color indexed="81"/>
            <rFont val="Tahoma"/>
            <family val="2"/>
          </rPr>
          <t>Estimée à 0,8 %</t>
        </r>
      </text>
    </comment>
    <comment ref="J224" authorId="1" shapeId="0" xr:uid="{212D0D23-CDD0-4D09-893B-A24E71E535EB}">
      <text>
        <r>
          <rPr>
            <b/>
            <sz val="9"/>
            <color indexed="81"/>
            <rFont val="Tahoma"/>
            <family val="2"/>
          </rPr>
          <t>Encombrants non-métalliques :</t>
        </r>
        <r>
          <rPr>
            <sz val="9"/>
            <color indexed="81"/>
            <rFont val="Tahoma"/>
            <family val="2"/>
          </rPr>
          <t xml:space="preserve"> comprennent les meubles en bois et en résine de plastique, les autres accessoires de jardin, les matelas et les sommiers, les jouets de grande taille ainsi que les accessoires de grand format pour la maison, comme les miroirs, les lampes et les produits en céramique et en porcelaine (lavabos, baignoires et cuvettes de toilette).</t>
        </r>
      </text>
    </comment>
    <comment ref="AI224" authorId="1" shapeId="0" xr:uid="{395F3D2A-C198-4CAC-810A-F1B576F4C8CF}">
      <text>
        <r>
          <rPr>
            <b/>
            <sz val="9"/>
            <color indexed="81"/>
            <rFont val="Tahoma"/>
            <family val="2"/>
          </rPr>
          <t xml:space="preserve">Encombrants non-métalliques : </t>
        </r>
        <r>
          <rPr>
            <sz val="9"/>
            <color indexed="81"/>
            <rFont val="Tahoma"/>
            <family val="2"/>
          </rPr>
          <t>comprennent les meubles en bois et en résine de plastique, les autres accessoires de jardin, les matelas et les sommiers, les jouets de grande taille ainsi que les accessoires de grand format pour la maison, comme les miroirs, les lampes et les produits en céramique et en porcelaine (lavabos, baignoires et cuvettes de toilette)</t>
        </r>
        <r>
          <rPr>
            <b/>
            <sz val="9"/>
            <color indexed="81"/>
            <rFont val="Tahoma"/>
            <family val="2"/>
          </rPr>
          <t>.</t>
        </r>
      </text>
    </comment>
    <comment ref="KS224" authorId="2" shapeId="0" xr:uid="{00000000-0006-0000-0100-00005C000000}">
      <text>
        <r>
          <rPr>
            <sz val="9"/>
            <color indexed="81"/>
            <rFont val="Tahoma"/>
            <family val="2"/>
          </rPr>
          <t>Estimée à 0,9 %</t>
        </r>
      </text>
    </comment>
    <comment ref="AE228" authorId="2" shapeId="0" xr:uid="{00000000-0006-0000-0100-00005D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K232" authorId="1" shapeId="0" xr:uid="{482BF59D-AD57-43E6-8FA7-B11337499F38}">
      <text>
        <r>
          <rPr>
            <b/>
            <sz val="9"/>
            <color indexed="81"/>
            <rFont val="Tahoma"/>
            <family val="2"/>
          </rPr>
          <t xml:space="preserve">Rappel : </t>
        </r>
        <r>
          <rPr>
            <sz val="9"/>
            <color indexed="81"/>
            <rFont val="Tahoma"/>
            <family val="2"/>
          </rPr>
          <t>Les balayures de rues</t>
        </r>
        <r>
          <rPr>
            <b/>
            <sz val="9"/>
            <color indexed="81"/>
            <rFont val="Tahoma"/>
            <family val="2"/>
          </rPr>
          <t xml:space="preserve"> </t>
        </r>
        <r>
          <rPr>
            <sz val="9"/>
            <color indexed="81"/>
            <rFont val="Tahoma"/>
            <family val="2"/>
          </rPr>
          <t>font partie des matières dont la mise à jour est facultative pour les fins de l'inventaire.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Joao</author>
    <author>Kateri Beaulne-Belisle</author>
    <author>MG</author>
  </authors>
  <commentList>
    <comment ref="K7" authorId="0" shapeId="0" xr:uid="{00000000-0006-0000-0300-000001000000}">
      <text>
        <r>
          <rPr>
            <b/>
            <sz val="9"/>
            <color indexed="81"/>
            <rFont val="Tahoma"/>
            <family val="2"/>
          </rPr>
          <t>Nombre d’employés de la région administrative :</t>
        </r>
        <r>
          <rPr>
            <sz val="9"/>
            <color indexed="81"/>
            <rFont val="Tahoma"/>
            <family val="2"/>
          </rPr>
          <t xml:space="preserve">
Retranscrire </t>
        </r>
        <r>
          <rPr>
            <u/>
            <sz val="9"/>
            <color indexed="81"/>
            <rFont val="Tahoma"/>
            <family val="2"/>
          </rPr>
          <t>telles quelles</t>
        </r>
        <r>
          <rPr>
            <sz val="9"/>
            <color indexed="81"/>
            <rFont val="Tahoma"/>
            <family val="2"/>
          </rPr>
          <t xml:space="preserve"> les informations fournies à partir du lien suivant, pour votre région administrative et pour l'année voulue, sauf les "X" qui doivent être remplacés par "0" le cas échéant. Ne pas multiplier les nombres par 1000 dans la retranscription des données. 
L'outil calcule ensuite un nombre d'employés associé au territoire d'application du projet de PGMR, au prorata de la population, et utilise ce nombre dans divers calculs de l'onglet.</t>
        </r>
      </text>
    </comment>
    <comment ref="CZ7" authorId="1" shapeId="0" xr:uid="{EC9561F4-2653-4376-9E90-B04E5BF98764}">
      <text>
        <r>
          <rPr>
            <b/>
            <sz val="9"/>
            <color indexed="81"/>
            <rFont val="Tahoma"/>
            <family val="2"/>
          </rPr>
          <t xml:space="preserve">Nombres d'employés propres à la MRC : </t>
        </r>
        <r>
          <rPr>
            <sz val="9"/>
            <color indexed="81"/>
            <rFont val="Tahoma"/>
            <family val="2"/>
          </rPr>
          <t xml:space="preserve">Effectuez les recherches à l'aide du lien. 
Sous «Géographie», sélectionnez le nom de la MRC, et sous «Situation d'activité», sélectionnez «Personnes occupées». Sous «Âge» et «Sexe», laissez «Total». Puis, cliquez «Soumettre». Les données à utiliser se trouveront à la colonne «Toutes les catégories de travailleurs».
Vous devrez regrouper les données en fonction des regroupements de codes SCIAN énumérés dans les notes associées à chaque secteur plus bas.
</t>
        </r>
        <r>
          <rPr>
            <b/>
            <sz val="9"/>
            <color indexed="81"/>
            <rFont val="Tahoma"/>
            <family val="2"/>
          </rPr>
          <t>Il est essentiel de diviser les nombres par 1000 pour les convertir en «k emp».</t>
        </r>
      </text>
    </comment>
    <comment ref="CH15" authorId="1" shapeId="0" xr:uid="{86EEB036-6054-4130-AECB-F922FBBBDA0A}">
      <text>
        <r>
          <rPr>
            <sz val="9"/>
            <color indexed="81"/>
            <rFont val="Tahoma"/>
            <family val="2"/>
          </rPr>
          <t>SCIAN 111 et 112</t>
        </r>
      </text>
    </comment>
    <comment ref="CH16" authorId="1" shapeId="0" xr:uid="{57953EEA-5F2F-4C1E-8945-45512FF900EC}">
      <text>
        <r>
          <rPr>
            <sz val="9"/>
            <color indexed="81"/>
            <rFont val="Tahoma"/>
            <family val="2"/>
          </rPr>
          <t>SCIAN 113 et 21</t>
        </r>
      </text>
    </comment>
    <comment ref="DS16" authorId="0" shapeId="0" xr:uid="{00000000-0006-0000-0300-000002000000}">
      <text>
        <r>
          <rPr>
            <b/>
            <sz val="9"/>
            <color indexed="81"/>
            <rFont val="Tahoma"/>
            <family val="2"/>
          </rPr>
          <t>Attention, les employés des secteurs SCIAN indiqués pour les M.O. ont été enlevés</t>
        </r>
      </text>
    </comment>
    <comment ref="DT16" authorId="0" shapeId="0" xr:uid="{00000000-0006-0000-0300-000003000000}">
      <text>
        <r>
          <rPr>
            <b/>
            <sz val="9"/>
            <color indexed="81"/>
            <rFont val="Tahoma"/>
            <family val="2"/>
          </rPr>
          <t>Attention, les employés des secteurs SCIAN indiqués pour les M.O. ont été enlevés</t>
        </r>
      </text>
    </comment>
    <comment ref="DU16" authorId="0" shapeId="0" xr:uid="{00000000-0006-0000-0300-000004000000}">
      <text>
        <r>
          <rPr>
            <b/>
            <sz val="9"/>
            <color indexed="81"/>
            <rFont val="Tahoma"/>
            <family val="2"/>
          </rPr>
          <t>Attention, les employés des secteurs SCIAN indiqués pour les M.O. ont été enlevés</t>
        </r>
      </text>
    </comment>
    <comment ref="EB16" authorId="0" shapeId="0" xr:uid="{00000000-0006-0000-0300-000005000000}">
      <text>
        <r>
          <rPr>
            <b/>
            <sz val="9"/>
            <color indexed="81"/>
            <rFont val="Tahoma"/>
            <family val="2"/>
          </rPr>
          <t>Attention, les employés des secteurs SCIAN indiqués pour les M.O. ont été enlevés</t>
        </r>
      </text>
    </comment>
    <comment ref="EC16" authorId="0" shapeId="0" xr:uid="{00000000-0006-0000-0300-000006000000}">
      <text>
        <r>
          <rPr>
            <b/>
            <sz val="9"/>
            <color indexed="81"/>
            <rFont val="Tahoma"/>
            <family val="2"/>
          </rPr>
          <t>Attention, les employés des secteurs SCIAN indiqués pour les M.O. ont été enlevés</t>
        </r>
      </text>
    </comment>
    <comment ref="ED16" authorId="0" shapeId="0" xr:uid="{00000000-0006-0000-0300-000007000000}">
      <text>
        <r>
          <rPr>
            <b/>
            <sz val="9"/>
            <color indexed="81"/>
            <rFont val="Tahoma"/>
            <family val="2"/>
          </rPr>
          <t>Attention, les employés des secteurs SCIAN indiqués pour les M.O. ont été enlevés</t>
        </r>
      </text>
    </comment>
    <comment ref="CH17" authorId="1" shapeId="0" xr:uid="{187D228A-19BA-4BFA-9036-F33DD7E08461}">
      <text>
        <r>
          <rPr>
            <sz val="9"/>
            <color indexed="81"/>
            <rFont val="Tahoma"/>
            <family val="2"/>
          </rPr>
          <t>SCIAN 22</t>
        </r>
      </text>
    </comment>
    <comment ref="CH18" authorId="1" shapeId="0" xr:uid="{AD89F649-3AB5-451D-A895-BB94A0E3F0B3}">
      <text>
        <r>
          <rPr>
            <sz val="9"/>
            <color indexed="81"/>
            <rFont val="Tahoma"/>
            <family val="2"/>
          </rPr>
          <t xml:space="preserve">Le secteur SCIAN portant sur l'industrie de la construction n'est pas retenu, puisque l'outil d'inventaire utilise une méthodologie propre à ce secteur d'activité à l'onglet Données CRD. </t>
        </r>
      </text>
    </comment>
    <comment ref="CH19" authorId="1" shapeId="0" xr:uid="{7E0696E9-F3D5-4D3C-AC60-B527340F180B}">
      <text>
        <r>
          <rPr>
            <sz val="9"/>
            <color indexed="81"/>
            <rFont val="Tahoma"/>
            <family val="2"/>
          </rPr>
          <t>SCIAN 31-33</t>
        </r>
      </text>
    </comment>
    <comment ref="CH21" authorId="1" shapeId="0" xr:uid="{6428341E-5AA9-4671-AA41-62A3B53A91AE}">
      <text>
        <r>
          <rPr>
            <sz val="9"/>
            <color indexed="81"/>
            <rFont val="Tahoma"/>
            <family val="2"/>
          </rPr>
          <t>SCIAN 41 et 44-45</t>
        </r>
      </text>
    </comment>
    <comment ref="CH22" authorId="1" shapeId="0" xr:uid="{BA56A86C-6482-43E1-B58A-A6B83B9D1162}">
      <text>
        <r>
          <rPr>
            <sz val="9"/>
            <color indexed="81"/>
            <rFont val="Tahoma"/>
            <family val="2"/>
          </rPr>
          <t>SCIAN 48-49</t>
        </r>
      </text>
    </comment>
    <comment ref="CH23" authorId="1" shapeId="0" xr:uid="{44341905-180E-4854-BABA-F2654A4147CC}">
      <text>
        <r>
          <rPr>
            <sz val="9"/>
            <color indexed="81"/>
            <rFont val="Tahoma"/>
            <family val="2"/>
          </rPr>
          <t>SCIAN 52, 53 et 55</t>
        </r>
      </text>
    </comment>
    <comment ref="CH24" authorId="1" shapeId="0" xr:uid="{90132B84-BB74-43AF-89D7-B06601EFC1EE}">
      <text>
        <r>
          <rPr>
            <sz val="9"/>
            <color indexed="81"/>
            <rFont val="Tahoma"/>
            <family val="2"/>
          </rPr>
          <t>SCIAN 54</t>
        </r>
      </text>
    </comment>
    <comment ref="CH25" authorId="1" shapeId="0" xr:uid="{C6130706-C0BC-4B85-932A-EB907D7035BE}">
      <text>
        <r>
          <rPr>
            <sz val="9"/>
            <color indexed="81"/>
            <rFont val="Tahoma"/>
            <family val="2"/>
          </rPr>
          <t>SCIAN 56</t>
        </r>
      </text>
    </comment>
    <comment ref="CH26" authorId="1" shapeId="0" xr:uid="{D01DFB97-CE16-428E-A97E-5327169BA76E}">
      <text>
        <r>
          <rPr>
            <sz val="9"/>
            <color indexed="81"/>
            <rFont val="Tahoma"/>
            <family val="2"/>
          </rPr>
          <t>SCIAN 61</t>
        </r>
      </text>
    </comment>
    <comment ref="CH27" authorId="1" shapeId="0" xr:uid="{831F37A0-FB88-49D3-B25F-66EE63E79FDB}">
      <text>
        <r>
          <rPr>
            <sz val="9"/>
            <color indexed="81"/>
            <rFont val="Tahoma"/>
            <family val="2"/>
          </rPr>
          <t>SCIAN 62</t>
        </r>
      </text>
    </comment>
    <comment ref="CH28" authorId="1" shapeId="0" xr:uid="{928086C8-C4F6-4261-96A8-9F96C67F3418}">
      <text>
        <r>
          <rPr>
            <sz val="9"/>
            <color indexed="81"/>
            <rFont val="Tahoma"/>
            <family val="2"/>
          </rPr>
          <t>SCIAN 51 et 71</t>
        </r>
      </text>
    </comment>
    <comment ref="CH29" authorId="1" shapeId="0" xr:uid="{7D3A976C-501E-48B9-8945-C3553D822E4E}">
      <text>
        <r>
          <rPr>
            <sz val="9"/>
            <color indexed="81"/>
            <rFont val="Tahoma"/>
            <family val="2"/>
          </rPr>
          <t>SCIAN 72</t>
        </r>
      </text>
    </comment>
    <comment ref="CH30" authorId="1" shapeId="0" xr:uid="{70DEDDB0-7FDB-45E0-A06C-081FE600C76E}">
      <text>
        <r>
          <rPr>
            <sz val="9"/>
            <color indexed="81"/>
            <rFont val="Tahoma"/>
            <family val="2"/>
          </rPr>
          <t>SCIAN 81</t>
        </r>
      </text>
    </comment>
    <comment ref="AB31" authorId="2" shapeId="0" xr:uid="{00000000-0006-0000-0300-000008000000}">
      <text>
        <r>
          <rPr>
            <b/>
            <sz val="9"/>
            <color indexed="81"/>
            <rFont val="Tahoma"/>
            <family val="2"/>
          </rPr>
          <t xml:space="preserve">Données à utiliser :
</t>
        </r>
        <r>
          <rPr>
            <sz val="9"/>
            <color indexed="81"/>
            <rFont val="Tahoma"/>
            <family val="2"/>
          </rPr>
          <t>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r>
          <rPr>
            <b/>
            <sz val="9"/>
            <color indexed="81"/>
            <rFont val="Tahoma"/>
            <family val="2"/>
          </rPr>
          <t xml:space="preserve">
</t>
        </r>
      </text>
    </comment>
    <comment ref="CH31" authorId="1" shapeId="0" xr:uid="{817A49C5-D59C-4A84-8C38-0A69546E6265}">
      <text>
        <r>
          <rPr>
            <sz val="9"/>
            <color indexed="81"/>
            <rFont val="Tahoma"/>
            <family val="2"/>
          </rPr>
          <t>SCIAN 91</t>
        </r>
      </text>
    </comment>
    <comment ref="T36" authorId="0" shapeId="0" xr:uid="{00000000-0006-0000-0300-000009000000}">
      <text>
        <r>
          <rPr>
            <b/>
            <sz val="9"/>
            <color indexed="81"/>
            <rFont val="Tahoma"/>
            <family val="2"/>
          </rPr>
          <t xml:space="preserve">Fibres : </t>
        </r>
        <r>
          <rPr>
            <sz val="9"/>
            <color indexed="81"/>
            <rFont val="Tahoma"/>
            <family val="2"/>
          </rPr>
          <t>Papier/carton</t>
        </r>
        <r>
          <rPr>
            <sz val="9"/>
            <color indexed="81"/>
            <rFont val="Tahoma"/>
            <family val="2"/>
          </rPr>
          <t xml:space="preserve">
</t>
        </r>
      </text>
    </comment>
    <comment ref="AM36" authorId="0" shapeId="0" xr:uid="{00000000-0006-0000-0300-00000A000000}">
      <text>
        <r>
          <rPr>
            <b/>
            <sz val="9"/>
            <color indexed="81"/>
            <rFont val="Tahoma"/>
            <family val="2"/>
          </rPr>
          <t xml:space="preserve">Fibres : </t>
        </r>
        <r>
          <rPr>
            <sz val="9"/>
            <color indexed="81"/>
            <rFont val="Tahoma"/>
            <family val="2"/>
          </rPr>
          <t>Papier/carton</t>
        </r>
        <r>
          <rPr>
            <sz val="9"/>
            <color indexed="81"/>
            <rFont val="Tahoma"/>
            <family val="2"/>
          </rPr>
          <t xml:space="preserve">
</t>
        </r>
      </text>
    </comment>
    <comment ref="AG51" authorId="1" shapeId="0" xr:uid="{11796D79-0BB8-42FC-8D5D-938900DE783E}">
      <text>
        <r>
          <rPr>
            <b/>
            <sz val="9"/>
            <color indexed="81"/>
            <rFont val="Tahoma"/>
            <family val="2"/>
          </rPr>
          <t>Secteur non connu :</t>
        </r>
        <r>
          <rPr>
            <sz val="9"/>
            <color indexed="81"/>
            <rFont val="Tahoma"/>
            <family val="2"/>
          </rPr>
          <t xml:space="preserve"> Utilisez cette ligne pour inscrire des données que vous ne pouvez pas associer à un ou des secteurs SCIAN prédéfinis de l'outil ou pour inscrire des données globales, si applicable.  </t>
        </r>
      </text>
    </comment>
    <comment ref="T57" authorId="0" shapeId="0" xr:uid="{00000000-0006-0000-0300-00000B000000}">
      <text>
        <r>
          <rPr>
            <b/>
            <sz val="9"/>
            <color indexed="81"/>
            <rFont val="Tahoma"/>
            <family val="2"/>
          </rPr>
          <t xml:space="preserve">Fibres : </t>
        </r>
        <r>
          <rPr>
            <sz val="9"/>
            <color indexed="81"/>
            <rFont val="Tahoma"/>
            <family val="2"/>
          </rPr>
          <t>Papier/carton</t>
        </r>
        <r>
          <rPr>
            <sz val="9"/>
            <color indexed="81"/>
            <rFont val="Tahoma"/>
            <family val="2"/>
          </rPr>
          <t xml:space="preserve">
</t>
        </r>
      </text>
    </comment>
    <comment ref="AM57" authorId="0" shapeId="0" xr:uid="{00000000-0006-0000-0300-00000C000000}">
      <text>
        <r>
          <rPr>
            <b/>
            <sz val="9"/>
            <color indexed="81"/>
            <rFont val="Tahoma"/>
            <family val="2"/>
          </rPr>
          <t xml:space="preserve">Fibres : </t>
        </r>
        <r>
          <rPr>
            <sz val="9"/>
            <color indexed="81"/>
            <rFont val="Tahoma"/>
            <family val="2"/>
          </rPr>
          <t>Papier/carton</t>
        </r>
        <r>
          <rPr>
            <sz val="9"/>
            <color indexed="81"/>
            <rFont val="Tahoma"/>
            <family val="2"/>
          </rPr>
          <t xml:space="preserve">
</t>
        </r>
      </text>
    </comment>
    <comment ref="AG72" authorId="1" shapeId="0" xr:uid="{6EED8157-215B-4D0A-8A8A-D32EB351C975}">
      <text>
        <r>
          <rPr>
            <b/>
            <sz val="9"/>
            <color indexed="81"/>
            <rFont val="Tahoma"/>
            <family val="2"/>
          </rPr>
          <t xml:space="preserve">Secteur non connu : </t>
        </r>
        <r>
          <rPr>
            <sz val="9"/>
            <color indexed="81"/>
            <rFont val="Tahoma"/>
            <family val="2"/>
          </rPr>
          <t>Utilisez cette ligne pour inscrire des données que vous ne pouvez pas associer à un ou des secteurs SCIAN prédéfinis de l'outil ou pour inscrire des données globales, si applicable.</t>
        </r>
      </text>
    </comment>
    <comment ref="T78" authorId="0" shapeId="0" xr:uid="{00000000-0006-0000-0300-00000D000000}">
      <text>
        <r>
          <rPr>
            <b/>
            <sz val="9"/>
            <color indexed="81"/>
            <rFont val="Tahoma"/>
            <family val="2"/>
          </rPr>
          <t xml:space="preserve">Fibres : </t>
        </r>
        <r>
          <rPr>
            <sz val="9"/>
            <color indexed="81"/>
            <rFont val="Tahoma"/>
            <family val="2"/>
          </rPr>
          <t>Papier/carton</t>
        </r>
        <r>
          <rPr>
            <sz val="9"/>
            <color indexed="81"/>
            <rFont val="Tahoma"/>
            <family val="2"/>
          </rPr>
          <t xml:space="preserve">
</t>
        </r>
      </text>
    </comment>
    <comment ref="AM78" authorId="0" shapeId="0" xr:uid="{00000000-0006-0000-0300-00000E000000}">
      <text>
        <r>
          <rPr>
            <b/>
            <sz val="9"/>
            <color indexed="81"/>
            <rFont val="Tahoma"/>
            <family val="2"/>
          </rPr>
          <t xml:space="preserve">Fibres : </t>
        </r>
        <r>
          <rPr>
            <sz val="9"/>
            <color indexed="81"/>
            <rFont val="Tahoma"/>
            <family val="2"/>
          </rPr>
          <t>Papier/carton</t>
        </r>
        <r>
          <rPr>
            <sz val="9"/>
            <color indexed="81"/>
            <rFont val="Tahoma"/>
            <family val="2"/>
          </rPr>
          <t xml:space="preserve">
</t>
        </r>
      </text>
    </comment>
    <comment ref="AG93" authorId="1" shapeId="0" xr:uid="{A44C96BE-8F38-4551-B317-ABEFBD06849F}">
      <text>
        <r>
          <rPr>
            <b/>
            <sz val="9"/>
            <color indexed="81"/>
            <rFont val="Tahoma"/>
            <family val="2"/>
          </rPr>
          <t xml:space="preserve">Secteur non connu : </t>
        </r>
        <r>
          <rPr>
            <sz val="9"/>
            <color indexed="81"/>
            <rFont val="Tahoma"/>
            <family val="2"/>
          </rPr>
          <t>Utilisez cette ligne pour inscrire des données que vous ne pouvez pas associer à un ou des secteurs SCIAN prédéfinis de l'outil ou pour inscrire des données globales, si applicable.</t>
        </r>
      </text>
    </comment>
    <comment ref="AB97" authorId="0" shapeId="0" xr:uid="{00000000-0006-0000-0300-00000F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Z106" authorId="0" shapeId="0" xr:uid="{00000000-0006-0000-0300-000010000000}">
      <text>
        <r>
          <rPr>
            <sz val="9"/>
            <color indexed="81"/>
            <rFont val="Tahoma"/>
            <family val="2"/>
          </rPr>
          <t xml:space="preserve">Se rapporter à l'Annexe D du document afin d'avoir accès aux portraits par région administrative. Ce lien peut prendre plusieurs minutes à télécharger. 
</t>
        </r>
      </text>
    </comment>
    <comment ref="BA107" authorId="1" shapeId="0" xr:uid="{DFF54146-DDE1-4E46-9F52-A1EB272604C3}">
      <text>
        <r>
          <rPr>
            <b/>
            <sz val="9"/>
            <color indexed="81"/>
            <rFont val="Tahoma"/>
            <family val="2"/>
          </rPr>
          <t xml:space="preserve">Nombres d'employés propres à la MRC : </t>
        </r>
        <r>
          <rPr>
            <sz val="9"/>
            <color indexed="81"/>
            <rFont val="Tahoma"/>
            <family val="2"/>
          </rPr>
          <t xml:space="preserve">Effectuez les recherches à l'aide du lien. 
Sous «Géographie», sélectionnez le nom de la MRC, et sous «Situation d'activité», sélectionnez «Personnes occupées». Sous «Âge» et «Sexe», laissez «Total». Puis, cliquez «Soumettre». Les données à copier se trouveront à la colonne «Toutes les catégories de travailleurs», aux codes SCIAN 3111 à 312.
</t>
        </r>
      </text>
    </comment>
    <comment ref="I112" authorId="0" shapeId="0" xr:uid="{00000000-0006-0000-0300-000012000000}">
      <text>
        <r>
          <rPr>
            <sz val="9"/>
            <color indexed="81"/>
            <rFont val="Tahoma"/>
            <family val="2"/>
          </rPr>
          <t>Pour plus d'informations sur les codes SCIAN, visitez de lien suivant :  
http://www.statcan.gc.ca/pub/12-501-x/12-501-x2012001-fra.pdf</t>
        </r>
      </text>
    </comment>
    <comment ref="N112" authorId="1" shapeId="0" xr:uid="{223B1970-D04B-40A5-BB6F-FACCF6C6E632}">
      <text>
        <r>
          <rPr>
            <b/>
            <sz val="9"/>
            <color indexed="81"/>
            <rFont val="Tahoma"/>
            <charset val="1"/>
          </rPr>
          <t>Nb. Employés :</t>
        </r>
        <r>
          <rPr>
            <sz val="9"/>
            <color indexed="81"/>
            <rFont val="Tahoma"/>
            <family val="2"/>
          </rPr>
          <t xml:space="preserve"> Reportez également les "0", si applicable.</t>
        </r>
      </text>
    </comment>
    <comment ref="U112" authorId="1" shapeId="0" xr:uid="{7941488A-9560-425E-B24C-6E9DFC6C337A}">
      <text>
        <r>
          <rPr>
            <b/>
            <sz val="9"/>
            <color indexed="81"/>
            <rFont val="Tahoma"/>
            <family val="2"/>
          </rPr>
          <t>Qté générée :</t>
        </r>
        <r>
          <rPr>
            <sz val="9"/>
            <color indexed="81"/>
            <rFont val="Tahoma"/>
            <family val="2"/>
          </rPr>
          <t xml:space="preserve"> Reportez également les "0", si applicable.</t>
        </r>
      </text>
    </comment>
    <comment ref="I113" authorId="0" shapeId="0" xr:uid="{00000000-0006-0000-0300-000013000000}">
      <text>
        <r>
          <rPr>
            <b/>
            <sz val="9"/>
            <color indexed="81"/>
            <rFont val="Tahoma"/>
            <family val="2"/>
          </rPr>
          <t xml:space="preserve">3111 
</t>
        </r>
        <r>
          <rPr>
            <sz val="9"/>
            <color indexed="81"/>
            <rFont val="Tahoma"/>
            <family val="2"/>
          </rPr>
          <t>Fabrication d’aliments pour animaux</t>
        </r>
      </text>
    </comment>
    <comment ref="AI113" authorId="0" shapeId="0" xr:uid="{00000000-0006-0000-0300-000014000000}">
      <text>
        <r>
          <rPr>
            <b/>
            <sz val="9"/>
            <color indexed="81"/>
            <rFont val="Tahoma"/>
            <family val="2"/>
          </rPr>
          <t xml:space="preserve">3111 
</t>
        </r>
        <r>
          <rPr>
            <sz val="9"/>
            <color indexed="81"/>
            <rFont val="Tahoma"/>
            <family val="2"/>
          </rPr>
          <t>Fabrication d’aliments pour animaux</t>
        </r>
      </text>
    </comment>
    <comment ref="I114" authorId="0" shapeId="0" xr:uid="{00000000-0006-0000-0300-000015000000}">
      <text>
        <r>
          <rPr>
            <b/>
            <sz val="9"/>
            <color indexed="81"/>
            <rFont val="Tahoma"/>
            <family val="2"/>
          </rPr>
          <t xml:space="preserve">3112 </t>
        </r>
        <r>
          <rPr>
            <sz val="9"/>
            <color indexed="81"/>
            <rFont val="Tahoma"/>
            <family val="2"/>
          </rPr>
          <t xml:space="preserve">
Mouture de grains céréaliers et de graines oléagineuses</t>
        </r>
      </text>
    </comment>
    <comment ref="AI114" authorId="0" shapeId="0" xr:uid="{00000000-0006-0000-0300-000016000000}">
      <text>
        <r>
          <rPr>
            <b/>
            <sz val="9"/>
            <color indexed="81"/>
            <rFont val="Tahoma"/>
            <family val="2"/>
          </rPr>
          <t xml:space="preserve">3112 </t>
        </r>
        <r>
          <rPr>
            <sz val="9"/>
            <color indexed="81"/>
            <rFont val="Tahoma"/>
            <family val="2"/>
          </rPr>
          <t xml:space="preserve">
Mouture de grains céréaliers et de graines oléagineuses</t>
        </r>
      </text>
    </comment>
    <comment ref="I115" authorId="0" shapeId="0" xr:uid="{00000000-0006-0000-0300-000017000000}">
      <text>
        <r>
          <rPr>
            <b/>
            <sz val="9"/>
            <color indexed="81"/>
            <rFont val="Tahoma"/>
            <family val="2"/>
          </rPr>
          <t xml:space="preserve">3113 </t>
        </r>
        <r>
          <rPr>
            <sz val="9"/>
            <color indexed="81"/>
            <rFont val="Tahoma"/>
            <family val="2"/>
          </rPr>
          <t xml:space="preserve">
Fabrication de sucre et de confiseries</t>
        </r>
      </text>
    </comment>
    <comment ref="AI115" authorId="0" shapeId="0" xr:uid="{00000000-0006-0000-0300-000018000000}">
      <text>
        <r>
          <rPr>
            <b/>
            <sz val="9"/>
            <color indexed="81"/>
            <rFont val="Tahoma"/>
            <family val="2"/>
          </rPr>
          <t xml:space="preserve">3113 </t>
        </r>
        <r>
          <rPr>
            <sz val="9"/>
            <color indexed="81"/>
            <rFont val="Tahoma"/>
            <family val="2"/>
          </rPr>
          <t xml:space="preserve">
Fabrication de sucre et de confiseries</t>
        </r>
      </text>
    </comment>
    <comment ref="I116" authorId="0" shapeId="0" xr:uid="{00000000-0006-0000-0300-000019000000}">
      <text>
        <r>
          <rPr>
            <b/>
            <sz val="9"/>
            <color indexed="81"/>
            <rFont val="Tahoma"/>
            <family val="2"/>
          </rPr>
          <t xml:space="preserve">3114 </t>
        </r>
        <r>
          <rPr>
            <sz val="9"/>
            <color indexed="81"/>
            <rFont val="Tahoma"/>
            <family val="2"/>
          </rPr>
          <t xml:space="preserve">
Mise en conserve de fruits et de légumes et fabrication de spécialités alimentaires</t>
        </r>
      </text>
    </comment>
    <comment ref="AI116" authorId="0" shapeId="0" xr:uid="{00000000-0006-0000-0300-00001A000000}">
      <text>
        <r>
          <rPr>
            <b/>
            <sz val="9"/>
            <color indexed="81"/>
            <rFont val="Tahoma"/>
            <family val="2"/>
          </rPr>
          <t xml:space="preserve">3114 </t>
        </r>
        <r>
          <rPr>
            <sz val="9"/>
            <color indexed="81"/>
            <rFont val="Tahoma"/>
            <family val="2"/>
          </rPr>
          <t xml:space="preserve">
Mise en conserve de fruits et de légumes et fabrication de spécialités alimentaires</t>
        </r>
      </text>
    </comment>
    <comment ref="I117" authorId="0" shapeId="0" xr:uid="{00000000-0006-0000-0300-00001B000000}">
      <text>
        <r>
          <rPr>
            <b/>
            <sz val="9"/>
            <color indexed="81"/>
            <rFont val="Tahoma"/>
            <family val="2"/>
          </rPr>
          <t xml:space="preserve">3115 </t>
        </r>
        <r>
          <rPr>
            <sz val="9"/>
            <color indexed="81"/>
            <rFont val="Tahoma"/>
            <family val="2"/>
          </rPr>
          <t xml:space="preserve">
Fabrication de produits laitiers</t>
        </r>
      </text>
    </comment>
    <comment ref="AI117" authorId="0" shapeId="0" xr:uid="{00000000-0006-0000-0300-00001C000000}">
      <text>
        <r>
          <rPr>
            <b/>
            <sz val="9"/>
            <color indexed="81"/>
            <rFont val="Tahoma"/>
            <family val="2"/>
          </rPr>
          <t xml:space="preserve">3115 </t>
        </r>
        <r>
          <rPr>
            <sz val="9"/>
            <color indexed="81"/>
            <rFont val="Tahoma"/>
            <family val="2"/>
          </rPr>
          <t xml:space="preserve">
Fabrication de produits laitiers</t>
        </r>
      </text>
    </comment>
    <comment ref="I118" authorId="0" shapeId="0" xr:uid="{00000000-0006-0000-0300-00001D000000}">
      <text>
        <r>
          <rPr>
            <b/>
            <sz val="9"/>
            <color indexed="81"/>
            <rFont val="Tahoma"/>
            <family val="2"/>
          </rPr>
          <t xml:space="preserve">3116 </t>
        </r>
        <r>
          <rPr>
            <sz val="9"/>
            <color indexed="81"/>
            <rFont val="Tahoma"/>
            <family val="2"/>
          </rPr>
          <t xml:space="preserve">
Fabrication de produits de viande</t>
        </r>
      </text>
    </comment>
    <comment ref="AI118" authorId="0" shapeId="0" xr:uid="{00000000-0006-0000-0300-00001E000000}">
      <text>
        <r>
          <rPr>
            <b/>
            <sz val="9"/>
            <color indexed="81"/>
            <rFont val="Tahoma"/>
            <family val="2"/>
          </rPr>
          <t xml:space="preserve">3116 </t>
        </r>
        <r>
          <rPr>
            <sz val="9"/>
            <color indexed="81"/>
            <rFont val="Tahoma"/>
            <family val="2"/>
          </rPr>
          <t xml:space="preserve">
Fabrication de produits de viande</t>
        </r>
      </text>
    </comment>
    <comment ref="I119" authorId="0" shapeId="0" xr:uid="{00000000-0006-0000-0300-00001F000000}">
      <text>
        <r>
          <rPr>
            <b/>
            <sz val="9"/>
            <color indexed="81"/>
            <rFont val="Tahoma"/>
            <family val="2"/>
          </rPr>
          <t xml:space="preserve">3117 </t>
        </r>
        <r>
          <rPr>
            <sz val="9"/>
            <color indexed="81"/>
            <rFont val="Tahoma"/>
            <family val="2"/>
          </rPr>
          <t xml:space="preserve">
Préparation et conditionnement de poissons et de fruits de mer</t>
        </r>
      </text>
    </comment>
    <comment ref="AI119" authorId="0" shapeId="0" xr:uid="{00000000-0006-0000-0300-000020000000}">
      <text>
        <r>
          <rPr>
            <b/>
            <sz val="9"/>
            <color indexed="81"/>
            <rFont val="Tahoma"/>
            <family val="2"/>
          </rPr>
          <t xml:space="preserve">3117 </t>
        </r>
        <r>
          <rPr>
            <sz val="9"/>
            <color indexed="81"/>
            <rFont val="Tahoma"/>
            <family val="2"/>
          </rPr>
          <t xml:space="preserve">
Préparation et conditionnement de poissons et de fruits de mer</t>
        </r>
      </text>
    </comment>
    <comment ref="I120" authorId="0" shapeId="0" xr:uid="{00000000-0006-0000-0300-000021000000}">
      <text>
        <r>
          <rPr>
            <b/>
            <sz val="9"/>
            <color indexed="81"/>
            <rFont val="Tahoma"/>
            <family val="2"/>
          </rPr>
          <t xml:space="preserve">3118 
</t>
        </r>
        <r>
          <rPr>
            <sz val="9"/>
            <color indexed="81"/>
            <rFont val="Tahoma"/>
            <family val="2"/>
          </rPr>
          <t>Boulangeries et fabrication de tortillas</t>
        </r>
      </text>
    </comment>
    <comment ref="AI120" authorId="0" shapeId="0" xr:uid="{00000000-0006-0000-0300-000022000000}">
      <text>
        <r>
          <rPr>
            <b/>
            <sz val="9"/>
            <color indexed="81"/>
            <rFont val="Tahoma"/>
            <family val="2"/>
          </rPr>
          <t xml:space="preserve">3118 
</t>
        </r>
        <r>
          <rPr>
            <sz val="9"/>
            <color indexed="81"/>
            <rFont val="Tahoma"/>
            <family val="2"/>
          </rPr>
          <t>Boulangeries et fabrication de tortillas</t>
        </r>
      </text>
    </comment>
    <comment ref="I121" authorId="0" shapeId="0" xr:uid="{00000000-0006-0000-0300-000023000000}">
      <text>
        <r>
          <rPr>
            <b/>
            <sz val="9"/>
            <color indexed="81"/>
            <rFont val="Tahoma"/>
            <family val="2"/>
          </rPr>
          <t xml:space="preserve">3119 
</t>
        </r>
        <r>
          <rPr>
            <sz val="9"/>
            <color indexed="81"/>
            <rFont val="Tahoma"/>
            <family val="2"/>
          </rPr>
          <t>Fabrication d’autres aliments</t>
        </r>
      </text>
    </comment>
    <comment ref="AI121" authorId="0" shapeId="0" xr:uid="{00000000-0006-0000-0300-000024000000}">
      <text>
        <r>
          <rPr>
            <b/>
            <sz val="9"/>
            <color indexed="81"/>
            <rFont val="Tahoma"/>
            <family val="2"/>
          </rPr>
          <t xml:space="preserve">3119 
</t>
        </r>
        <r>
          <rPr>
            <sz val="9"/>
            <color indexed="81"/>
            <rFont val="Tahoma"/>
            <family val="2"/>
          </rPr>
          <t>Fabrication d’autres aliments</t>
        </r>
      </text>
    </comment>
    <comment ref="I122" authorId="0" shapeId="0" xr:uid="{00000000-0006-0000-0300-000025000000}">
      <text>
        <r>
          <rPr>
            <b/>
            <sz val="9"/>
            <color indexed="81"/>
            <rFont val="Tahoma"/>
            <family val="2"/>
          </rPr>
          <t xml:space="preserve">312 
</t>
        </r>
        <r>
          <rPr>
            <sz val="9"/>
            <color indexed="81"/>
            <rFont val="Tahoma"/>
            <family val="2"/>
          </rPr>
          <t>Fabrication de boissons et produits du tabac</t>
        </r>
      </text>
    </comment>
    <comment ref="AI122" authorId="0" shapeId="0" xr:uid="{00000000-0006-0000-0300-000026000000}">
      <text>
        <r>
          <rPr>
            <b/>
            <sz val="9"/>
            <color indexed="81"/>
            <rFont val="Tahoma"/>
            <family val="2"/>
          </rPr>
          <t xml:space="preserve">312 
</t>
        </r>
        <r>
          <rPr>
            <sz val="9"/>
            <color indexed="81"/>
            <rFont val="Tahoma"/>
            <family val="2"/>
          </rPr>
          <t>Fabrication de boissons et produits du tabac</t>
        </r>
      </text>
    </comment>
    <comment ref="I126" authorId="1" shapeId="0" xr:uid="{71DDCFF7-EB0F-49D6-9C18-9889A1590AB1}">
      <text>
        <r>
          <rPr>
            <sz val="9"/>
            <color indexed="81"/>
            <rFont val="Tahoma"/>
            <family val="2"/>
          </rPr>
          <t>Transcrire la quantité éliminée indiquée dans les faits saillants relatifs à la région concernée, à l'annexe D de l'étude fournie en référence.</t>
        </r>
      </text>
    </comment>
    <comment ref="AC129" authorId="2" shapeId="0" xr:uid="{00000000-0006-0000-0300-000027000000}">
      <text>
        <r>
          <rPr>
            <b/>
            <sz val="9"/>
            <color indexed="81"/>
            <rFont val="Tahoma"/>
            <family val="2"/>
          </rPr>
          <t xml:space="preserve">Données à utiliser :
</t>
        </r>
        <r>
          <rPr>
            <sz val="9"/>
            <color indexed="81"/>
            <rFont val="Tahoma"/>
            <family val="2"/>
          </rPr>
          <t xml:space="preserve">Indiquez la source des données à utiliser dans les résultats. Si vous utilisez vos propres données, assurez-vous de remplir toutes les cases orange. Au besoin, copiez les données suggérées par l'outil. </t>
        </r>
        <r>
          <rPr>
            <b/>
            <sz val="9"/>
            <color indexed="81"/>
            <rFont val="Tahoma"/>
            <family val="2"/>
          </rPr>
          <t xml:space="preserve">
</t>
        </r>
      </text>
    </comment>
    <comment ref="I134" authorId="0" shapeId="0" xr:uid="{00000000-0006-0000-0300-000028000000}">
      <text>
        <r>
          <rPr>
            <b/>
            <sz val="9"/>
            <color indexed="81"/>
            <rFont val="Tahoma"/>
            <family val="2"/>
          </rPr>
          <t xml:space="preserve">3111 
</t>
        </r>
        <r>
          <rPr>
            <sz val="9"/>
            <color indexed="81"/>
            <rFont val="Tahoma"/>
            <family val="2"/>
          </rPr>
          <t>Fabrication d’aliments pour animaux</t>
        </r>
      </text>
    </comment>
    <comment ref="AG134" authorId="0" shapeId="0" xr:uid="{00000000-0006-0000-0300-000029000000}">
      <text>
        <r>
          <rPr>
            <b/>
            <sz val="9"/>
            <color indexed="81"/>
            <rFont val="Tahoma"/>
            <family val="2"/>
          </rPr>
          <t xml:space="preserve">3111 
</t>
        </r>
        <r>
          <rPr>
            <sz val="9"/>
            <color indexed="81"/>
            <rFont val="Tahoma"/>
            <family val="2"/>
          </rPr>
          <t>Fabrication d’aliments pour animaux</t>
        </r>
      </text>
    </comment>
    <comment ref="I135" authorId="0" shapeId="0" xr:uid="{00000000-0006-0000-0300-00002A000000}">
      <text>
        <r>
          <rPr>
            <b/>
            <sz val="9"/>
            <color indexed="81"/>
            <rFont val="Tahoma"/>
            <family val="2"/>
          </rPr>
          <t xml:space="preserve">3112 </t>
        </r>
        <r>
          <rPr>
            <sz val="9"/>
            <color indexed="81"/>
            <rFont val="Tahoma"/>
            <family val="2"/>
          </rPr>
          <t xml:space="preserve">
Mouture de grains céréaliers et de graines oléagineuses</t>
        </r>
      </text>
    </comment>
    <comment ref="AG135" authorId="0" shapeId="0" xr:uid="{00000000-0006-0000-0300-00002B000000}">
      <text>
        <r>
          <rPr>
            <b/>
            <sz val="9"/>
            <color indexed="81"/>
            <rFont val="Tahoma"/>
            <family val="2"/>
          </rPr>
          <t xml:space="preserve">3112 </t>
        </r>
        <r>
          <rPr>
            <sz val="9"/>
            <color indexed="81"/>
            <rFont val="Tahoma"/>
            <family val="2"/>
          </rPr>
          <t xml:space="preserve">
Mouture de grains céréaliers et de graines oléagineuses</t>
        </r>
      </text>
    </comment>
    <comment ref="I136" authorId="0" shapeId="0" xr:uid="{00000000-0006-0000-0300-00002C000000}">
      <text>
        <r>
          <rPr>
            <b/>
            <sz val="9"/>
            <color indexed="81"/>
            <rFont val="Tahoma"/>
            <family val="2"/>
          </rPr>
          <t xml:space="preserve">3113 </t>
        </r>
        <r>
          <rPr>
            <sz val="9"/>
            <color indexed="81"/>
            <rFont val="Tahoma"/>
            <family val="2"/>
          </rPr>
          <t xml:space="preserve">
Fabrication de sucre et de confiseries</t>
        </r>
      </text>
    </comment>
    <comment ref="AG136" authorId="0" shapeId="0" xr:uid="{00000000-0006-0000-0300-00002D000000}">
      <text>
        <r>
          <rPr>
            <b/>
            <sz val="9"/>
            <color indexed="81"/>
            <rFont val="Tahoma"/>
            <family val="2"/>
          </rPr>
          <t xml:space="preserve">3113 </t>
        </r>
        <r>
          <rPr>
            <sz val="9"/>
            <color indexed="81"/>
            <rFont val="Tahoma"/>
            <family val="2"/>
          </rPr>
          <t xml:space="preserve">
Fabrication de sucre et de confiseries</t>
        </r>
      </text>
    </comment>
    <comment ref="I137" authorId="0" shapeId="0" xr:uid="{00000000-0006-0000-0300-00002E000000}">
      <text>
        <r>
          <rPr>
            <b/>
            <sz val="9"/>
            <color indexed="81"/>
            <rFont val="Tahoma"/>
            <family val="2"/>
          </rPr>
          <t xml:space="preserve">3114 </t>
        </r>
        <r>
          <rPr>
            <sz val="9"/>
            <color indexed="81"/>
            <rFont val="Tahoma"/>
            <family val="2"/>
          </rPr>
          <t xml:space="preserve">
Mise en conserve de fruits et de légumes et fabrication de spécialités alimentaires</t>
        </r>
      </text>
    </comment>
    <comment ref="AG137" authorId="0" shapeId="0" xr:uid="{00000000-0006-0000-0300-00002F000000}">
      <text>
        <r>
          <rPr>
            <b/>
            <sz val="9"/>
            <color indexed="81"/>
            <rFont val="Tahoma"/>
            <family val="2"/>
          </rPr>
          <t xml:space="preserve">3114 </t>
        </r>
        <r>
          <rPr>
            <sz val="9"/>
            <color indexed="81"/>
            <rFont val="Tahoma"/>
            <family val="2"/>
          </rPr>
          <t xml:space="preserve">
Mise en conserve de fruits et de légumes et fabrication de spécialités alimentaires</t>
        </r>
      </text>
    </comment>
    <comment ref="I138" authorId="0" shapeId="0" xr:uid="{00000000-0006-0000-0300-000030000000}">
      <text>
        <r>
          <rPr>
            <b/>
            <sz val="9"/>
            <color indexed="81"/>
            <rFont val="Tahoma"/>
            <family val="2"/>
          </rPr>
          <t xml:space="preserve">3115 </t>
        </r>
        <r>
          <rPr>
            <sz val="9"/>
            <color indexed="81"/>
            <rFont val="Tahoma"/>
            <family val="2"/>
          </rPr>
          <t xml:space="preserve">
Fabrication de produits laitiers</t>
        </r>
      </text>
    </comment>
    <comment ref="AG138" authorId="0" shapeId="0" xr:uid="{00000000-0006-0000-0300-000031000000}">
      <text>
        <r>
          <rPr>
            <b/>
            <sz val="9"/>
            <color indexed="81"/>
            <rFont val="Tahoma"/>
            <family val="2"/>
          </rPr>
          <t xml:space="preserve">3115 </t>
        </r>
        <r>
          <rPr>
            <sz val="9"/>
            <color indexed="81"/>
            <rFont val="Tahoma"/>
            <family val="2"/>
          </rPr>
          <t xml:space="preserve">
Fabrication de produits laitiers</t>
        </r>
      </text>
    </comment>
    <comment ref="I139" authorId="0" shapeId="0" xr:uid="{00000000-0006-0000-0300-000032000000}">
      <text>
        <r>
          <rPr>
            <b/>
            <sz val="9"/>
            <color indexed="81"/>
            <rFont val="Tahoma"/>
            <family val="2"/>
          </rPr>
          <t xml:space="preserve">3116 </t>
        </r>
        <r>
          <rPr>
            <sz val="9"/>
            <color indexed="81"/>
            <rFont val="Tahoma"/>
            <family val="2"/>
          </rPr>
          <t xml:space="preserve">
Fabrication de produits de viande</t>
        </r>
      </text>
    </comment>
    <comment ref="AG139" authorId="0" shapeId="0" xr:uid="{00000000-0006-0000-0300-000033000000}">
      <text>
        <r>
          <rPr>
            <b/>
            <sz val="9"/>
            <color indexed="81"/>
            <rFont val="Tahoma"/>
            <family val="2"/>
          </rPr>
          <t xml:space="preserve">3116 </t>
        </r>
        <r>
          <rPr>
            <sz val="9"/>
            <color indexed="81"/>
            <rFont val="Tahoma"/>
            <family val="2"/>
          </rPr>
          <t xml:space="preserve">
Fabrication de produits de viande</t>
        </r>
      </text>
    </comment>
    <comment ref="I140" authorId="0" shapeId="0" xr:uid="{00000000-0006-0000-0300-000034000000}">
      <text>
        <r>
          <rPr>
            <b/>
            <sz val="9"/>
            <color indexed="81"/>
            <rFont val="Tahoma"/>
            <family val="2"/>
          </rPr>
          <t xml:space="preserve">3117 </t>
        </r>
        <r>
          <rPr>
            <sz val="9"/>
            <color indexed="81"/>
            <rFont val="Tahoma"/>
            <family val="2"/>
          </rPr>
          <t xml:space="preserve">
Préparation et conditionnement de poissons et de fruits de mer</t>
        </r>
      </text>
    </comment>
    <comment ref="AG140" authorId="0" shapeId="0" xr:uid="{00000000-0006-0000-0300-000035000000}">
      <text>
        <r>
          <rPr>
            <b/>
            <sz val="9"/>
            <color indexed="81"/>
            <rFont val="Tahoma"/>
            <family val="2"/>
          </rPr>
          <t xml:space="preserve">3117 </t>
        </r>
        <r>
          <rPr>
            <sz val="9"/>
            <color indexed="81"/>
            <rFont val="Tahoma"/>
            <family val="2"/>
          </rPr>
          <t xml:space="preserve">
Préparation et conditionnement de poissons et de fruits de mer</t>
        </r>
      </text>
    </comment>
    <comment ref="I141" authorId="0" shapeId="0" xr:uid="{00000000-0006-0000-0300-000036000000}">
      <text>
        <r>
          <rPr>
            <b/>
            <sz val="9"/>
            <color indexed="81"/>
            <rFont val="Tahoma"/>
            <family val="2"/>
          </rPr>
          <t xml:space="preserve">3118 
</t>
        </r>
        <r>
          <rPr>
            <sz val="9"/>
            <color indexed="81"/>
            <rFont val="Tahoma"/>
            <family val="2"/>
          </rPr>
          <t>Boulangeries et fabrication de tortillas</t>
        </r>
      </text>
    </comment>
    <comment ref="AG141" authorId="0" shapeId="0" xr:uid="{00000000-0006-0000-0300-000037000000}">
      <text>
        <r>
          <rPr>
            <b/>
            <sz val="9"/>
            <color indexed="81"/>
            <rFont val="Tahoma"/>
            <family val="2"/>
          </rPr>
          <t xml:space="preserve">3118 
</t>
        </r>
        <r>
          <rPr>
            <sz val="9"/>
            <color indexed="81"/>
            <rFont val="Tahoma"/>
            <family val="2"/>
          </rPr>
          <t>Boulangeries et fabrication de tortillas</t>
        </r>
      </text>
    </comment>
    <comment ref="I142" authorId="0" shapeId="0" xr:uid="{00000000-0006-0000-0300-000038000000}">
      <text>
        <r>
          <rPr>
            <b/>
            <sz val="9"/>
            <color indexed="81"/>
            <rFont val="Tahoma"/>
            <family val="2"/>
          </rPr>
          <t xml:space="preserve">3119 
</t>
        </r>
        <r>
          <rPr>
            <sz val="9"/>
            <color indexed="81"/>
            <rFont val="Tahoma"/>
            <family val="2"/>
          </rPr>
          <t>Fabrication d’autres aliments</t>
        </r>
      </text>
    </comment>
    <comment ref="AG142" authorId="0" shapeId="0" xr:uid="{00000000-0006-0000-0300-000039000000}">
      <text>
        <r>
          <rPr>
            <b/>
            <sz val="9"/>
            <color indexed="81"/>
            <rFont val="Tahoma"/>
            <family val="2"/>
          </rPr>
          <t xml:space="preserve">3119 
</t>
        </r>
        <r>
          <rPr>
            <sz val="9"/>
            <color indexed="81"/>
            <rFont val="Tahoma"/>
            <family val="2"/>
          </rPr>
          <t>Fabrication d’autres aliments</t>
        </r>
      </text>
    </comment>
    <comment ref="I143" authorId="0" shapeId="0" xr:uid="{00000000-0006-0000-0300-00003A000000}">
      <text>
        <r>
          <rPr>
            <b/>
            <sz val="9"/>
            <color indexed="81"/>
            <rFont val="Tahoma"/>
            <family val="2"/>
          </rPr>
          <t xml:space="preserve">312 
</t>
        </r>
        <r>
          <rPr>
            <sz val="9"/>
            <color indexed="81"/>
            <rFont val="Tahoma"/>
            <family val="2"/>
          </rPr>
          <t>Fabrication de boissons et produits du tabac</t>
        </r>
      </text>
    </comment>
    <comment ref="AG143" authorId="0" shapeId="0" xr:uid="{00000000-0006-0000-0300-00003B000000}">
      <text>
        <r>
          <rPr>
            <b/>
            <sz val="9"/>
            <color indexed="81"/>
            <rFont val="Tahoma"/>
            <family val="2"/>
          </rPr>
          <t xml:space="preserve">312 
</t>
        </r>
        <r>
          <rPr>
            <sz val="9"/>
            <color indexed="81"/>
            <rFont val="Tahoma"/>
            <family val="2"/>
          </rPr>
          <t>Fabrication de boissons et produits du tabac</t>
        </r>
      </text>
    </comment>
    <comment ref="AC147" authorId="0" shapeId="0" xr:uid="{00000000-0006-0000-0300-00003C000000}">
      <text>
        <r>
          <rPr>
            <b/>
            <sz val="9"/>
            <color indexed="81"/>
            <rFont val="Tahoma"/>
            <family val="2"/>
          </rPr>
          <t xml:space="preserve">Marge de validation recommandée
</t>
        </r>
        <r>
          <rPr>
            <sz val="9"/>
            <color indexed="81"/>
            <rFont val="Tahoma"/>
            <family val="2"/>
          </rPr>
          <t>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 ref="AD153" authorId="0" shapeId="0" xr:uid="{00000000-0006-0000-0300-00003D000000}">
      <text>
        <r>
          <rPr>
            <b/>
            <sz val="9"/>
            <color indexed="81"/>
            <rFont val="Tahoma"/>
            <family val="2"/>
          </rPr>
          <t xml:space="preserve">Boues industrielles :
</t>
        </r>
        <r>
          <rPr>
            <sz val="9"/>
            <color indexed="81"/>
            <rFont val="Tahoma"/>
            <family val="2"/>
          </rPr>
          <t>Cochez si OUI ou NON, il y a une (ou des) usine(s) de pâtes et papier sur le territoire de la MRC?</t>
        </r>
      </text>
    </comment>
    <comment ref="AH153" authorId="0" shapeId="0" xr:uid="{00000000-0006-0000-0300-00003E000000}">
      <text>
        <r>
          <rPr>
            <b/>
            <sz val="9"/>
            <color indexed="81"/>
            <rFont val="Tahoma"/>
            <family val="2"/>
          </rPr>
          <t>Boues industrielles :</t>
        </r>
        <r>
          <rPr>
            <sz val="9"/>
            <color indexed="81"/>
            <rFont val="Tahoma"/>
            <family val="2"/>
          </rPr>
          <t xml:space="preserve">
LORSQU’APPLICABLE, accédez à la version la plus récente du Bilan annuel produit par le MDDELCC</t>
        </r>
      </text>
    </comment>
    <comment ref="AD156" authorId="0" shapeId="0" xr:uid="{00000000-0006-0000-0300-00003F000000}">
      <text>
        <r>
          <rPr>
            <b/>
            <sz val="9"/>
            <color indexed="81"/>
            <rFont val="Tahoma"/>
            <family val="2"/>
          </rPr>
          <t>Valorisation énergétique</t>
        </r>
        <r>
          <rPr>
            <sz val="9"/>
            <color indexed="81"/>
            <rFont val="Tahoma"/>
            <family val="2"/>
          </rPr>
          <t xml:space="preserve">
La valorisation énergétique est considérée comme de l'élimination.</t>
        </r>
      </text>
    </comment>
    <comment ref="AX157" authorId="0" shapeId="0" xr:uid="{00000000-0006-0000-0300-000040000000}">
      <text>
        <r>
          <rPr>
            <b/>
            <sz val="9"/>
            <color indexed="81"/>
            <rFont val="Tahoma"/>
            <family val="2"/>
          </rPr>
          <t xml:space="preserve">Total Valorisé
</t>
        </r>
        <r>
          <rPr>
            <sz val="9"/>
            <color indexed="81"/>
            <rFont val="Tahoma"/>
            <family val="2"/>
          </rPr>
          <t>La valorisation énergétique est considérée comme de l'élimination.</t>
        </r>
      </text>
    </comment>
    <comment ref="AC171" authorId="2" shapeId="0" xr:uid="{00000000-0006-0000-0300-000041000000}">
      <text>
        <r>
          <rPr>
            <b/>
            <sz val="9"/>
            <color indexed="81"/>
            <rFont val="Tahoma"/>
            <family val="2"/>
          </rPr>
          <t xml:space="preserve">Données à utiliser :
</t>
        </r>
        <r>
          <rPr>
            <sz val="9"/>
            <color indexed="81"/>
            <rFont val="Tahoma"/>
            <family val="2"/>
          </rPr>
          <t>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r>
          <rPr>
            <b/>
            <sz val="9"/>
            <color indexed="81"/>
            <rFont val="Tahoma"/>
            <family val="2"/>
          </rPr>
          <t xml:space="preserve">
</t>
        </r>
      </text>
    </comment>
    <comment ref="T176" authorId="1" shapeId="0" xr:uid="{7EF0B9A0-F8AF-470D-95D5-F6F50B0D5D31}">
      <text>
        <r>
          <rPr>
            <b/>
            <sz val="9"/>
            <color indexed="81"/>
            <rFont val="Tahoma"/>
            <family val="2"/>
          </rPr>
          <t>Matières organiques récupérées :</t>
        </r>
        <r>
          <rPr>
            <sz val="9"/>
            <color indexed="81"/>
            <rFont val="Tahoma"/>
            <family val="2"/>
          </rPr>
          <t xml:space="preserve"> Aucune quantité de matières organiques récupérées n'est estimée par l'outil pour le secteur ICI (excluant le secteur agroalimentaire), en raison du manque de données disponibles à cet effet et des divergences dans les modes de gestion de ces matières au Québec.</t>
        </r>
      </text>
    </comment>
    <comment ref="X177" authorId="0" shapeId="0" xr:uid="{00000000-0006-0000-0300-000042000000}">
      <text>
        <r>
          <rPr>
            <b/>
            <sz val="9"/>
            <color indexed="81"/>
            <rFont val="Tahoma"/>
            <family val="2"/>
          </rPr>
          <t>Résidus alimentaires</t>
        </r>
        <r>
          <rPr>
            <sz val="9"/>
            <color indexed="81"/>
            <rFont val="Tahoma"/>
            <family val="2"/>
          </rPr>
          <t xml:space="preserve">
</t>
        </r>
      </text>
    </comment>
    <comment ref="AB177" authorId="0" shapeId="0" xr:uid="{00000000-0006-0000-0300-000043000000}">
      <text>
        <r>
          <rPr>
            <b/>
            <sz val="9"/>
            <color indexed="81"/>
            <rFont val="Tahoma"/>
            <family val="2"/>
          </rPr>
          <t xml:space="preserve">Autres résidus organiques : 
</t>
        </r>
        <r>
          <rPr>
            <sz val="9"/>
            <color indexed="81"/>
            <rFont val="Tahoma"/>
            <family val="2"/>
          </rPr>
          <t>Cendre, papier à mains, essuie-tout, serviettes de table, bâtons de popsicle, etc.</t>
        </r>
      </text>
    </comment>
    <comment ref="AW177" authorId="0" shapeId="0" xr:uid="{00000000-0006-0000-0300-000044000000}">
      <text>
        <r>
          <rPr>
            <b/>
            <sz val="9"/>
            <color indexed="81"/>
            <rFont val="Tahoma"/>
            <family val="2"/>
          </rPr>
          <t>Résidus alimentaires</t>
        </r>
        <r>
          <rPr>
            <sz val="9"/>
            <color indexed="81"/>
            <rFont val="Tahoma"/>
            <family val="2"/>
          </rPr>
          <t xml:space="preserve">
</t>
        </r>
      </text>
    </comment>
    <comment ref="BA177" authorId="0" shapeId="0" xr:uid="{00000000-0006-0000-0300-000045000000}">
      <text>
        <r>
          <rPr>
            <b/>
            <sz val="9"/>
            <color indexed="81"/>
            <rFont val="Tahoma"/>
            <family val="2"/>
          </rPr>
          <t xml:space="preserve">Autres résidus organiques : 
</t>
        </r>
        <r>
          <rPr>
            <sz val="9"/>
            <color indexed="81"/>
            <rFont val="Tahoma"/>
            <family val="2"/>
          </rPr>
          <t>Cendre, papier à mains, essuie-tout, serviettes de table, bâtons de popsicle, etc.</t>
        </r>
      </text>
    </comment>
    <comment ref="DO177" authorId="0" shapeId="0" xr:uid="{00000000-0006-0000-0300-000046000000}">
      <text>
        <r>
          <rPr>
            <b/>
            <sz val="9"/>
            <color indexed="81"/>
            <rFont val="Tahoma"/>
            <family val="2"/>
          </rPr>
          <t>Résidus Alimentaires</t>
        </r>
        <r>
          <rPr>
            <sz val="9"/>
            <color indexed="81"/>
            <rFont val="Tahoma"/>
            <family val="2"/>
          </rPr>
          <t xml:space="preserve">
</t>
        </r>
      </text>
    </comment>
    <comment ref="DS177" authorId="0" shapeId="0" xr:uid="{00000000-0006-0000-0300-000047000000}">
      <text>
        <r>
          <rPr>
            <b/>
            <sz val="9"/>
            <color indexed="81"/>
            <rFont val="Tahoma"/>
            <family val="2"/>
          </rPr>
          <t>Autres résidus organiques</t>
        </r>
        <r>
          <rPr>
            <sz val="9"/>
            <color indexed="81"/>
            <rFont val="Tahoma"/>
            <family val="2"/>
          </rPr>
          <t xml:space="preserve">
</t>
        </r>
      </text>
    </comment>
    <comment ref="EB177" authorId="0" shapeId="0" xr:uid="{00000000-0006-0000-0300-000048000000}">
      <text>
        <r>
          <rPr>
            <b/>
            <sz val="9"/>
            <color indexed="81"/>
            <rFont val="Tahoma"/>
            <family val="2"/>
          </rPr>
          <t>Résidus Alimentaires</t>
        </r>
        <r>
          <rPr>
            <sz val="9"/>
            <color indexed="81"/>
            <rFont val="Tahoma"/>
            <family val="2"/>
          </rPr>
          <t xml:space="preserve">
</t>
        </r>
      </text>
    </comment>
    <comment ref="EF177" authorId="0" shapeId="0" xr:uid="{00000000-0006-0000-0300-000049000000}">
      <text>
        <r>
          <rPr>
            <b/>
            <sz val="9"/>
            <color indexed="81"/>
            <rFont val="Tahoma"/>
            <family val="2"/>
          </rPr>
          <t>Autres résidus organiques</t>
        </r>
        <r>
          <rPr>
            <sz val="9"/>
            <color indexed="81"/>
            <rFont val="Tahoma"/>
            <family val="2"/>
          </rPr>
          <t xml:space="preserve">
</t>
        </r>
      </text>
    </comment>
    <comment ref="DO184" authorId="0" shapeId="0" xr:uid="{00000000-0006-0000-0300-00004A000000}">
      <text>
        <r>
          <rPr>
            <b/>
            <sz val="9"/>
            <color indexed="81"/>
            <rFont val="Tahoma"/>
            <family val="2"/>
          </rPr>
          <t>Résidus Alimentaires</t>
        </r>
        <r>
          <rPr>
            <sz val="9"/>
            <color indexed="81"/>
            <rFont val="Tahoma"/>
            <family val="2"/>
          </rPr>
          <t xml:space="preserve">
</t>
        </r>
      </text>
    </comment>
    <comment ref="DS184" authorId="0" shapeId="0" xr:uid="{00000000-0006-0000-0300-00004B000000}">
      <text>
        <r>
          <rPr>
            <b/>
            <sz val="9"/>
            <color indexed="81"/>
            <rFont val="Tahoma"/>
            <family val="2"/>
          </rPr>
          <t>Autres résidus organiques</t>
        </r>
        <r>
          <rPr>
            <sz val="9"/>
            <color indexed="81"/>
            <rFont val="Tahoma"/>
            <family val="2"/>
          </rPr>
          <t xml:space="preserve">
</t>
        </r>
      </text>
    </comment>
    <comment ref="EB184" authorId="0" shapeId="0" xr:uid="{00000000-0006-0000-0300-00004C000000}">
      <text>
        <r>
          <rPr>
            <b/>
            <sz val="9"/>
            <color indexed="81"/>
            <rFont val="Tahoma"/>
            <family val="2"/>
          </rPr>
          <t>Résidus Alimentaires</t>
        </r>
        <r>
          <rPr>
            <sz val="9"/>
            <color indexed="81"/>
            <rFont val="Tahoma"/>
            <family val="2"/>
          </rPr>
          <t xml:space="preserve">
</t>
        </r>
      </text>
    </comment>
    <comment ref="EF184" authorId="0" shapeId="0" xr:uid="{00000000-0006-0000-0300-00004D000000}">
      <text>
        <r>
          <rPr>
            <b/>
            <sz val="9"/>
            <color indexed="81"/>
            <rFont val="Tahoma"/>
            <family val="2"/>
          </rPr>
          <t>Autres résidus organiques</t>
        </r>
        <r>
          <rPr>
            <sz val="9"/>
            <color indexed="81"/>
            <rFont val="Tahoma"/>
            <family val="2"/>
          </rPr>
          <t xml:space="preserve">
</t>
        </r>
      </text>
    </comment>
    <comment ref="AH192" authorId="1" shapeId="0" xr:uid="{FF4D5737-2F4C-4C0D-90CF-49E6CCE7E5A9}">
      <text>
        <r>
          <rPr>
            <b/>
            <sz val="9"/>
            <color indexed="81"/>
            <rFont val="Tahoma"/>
            <family val="2"/>
          </rPr>
          <t>Secteur non connu :</t>
        </r>
        <r>
          <rPr>
            <sz val="9"/>
            <color indexed="81"/>
            <rFont val="Tahoma"/>
            <family val="2"/>
          </rPr>
          <t xml:space="preserve"> Utilisez cette ligne pour inscrire des données que vous ne pouvez pas associer à un ou des secteurs SCIAN prédéfinis de l'outil ou pour inscrire des données globales, si applicable.</t>
        </r>
      </text>
    </comment>
    <comment ref="DO196" authorId="0" shapeId="0" xr:uid="{00000000-0006-0000-0300-00004E000000}">
      <text>
        <r>
          <rPr>
            <b/>
            <sz val="9"/>
            <color indexed="81"/>
            <rFont val="Tahoma"/>
            <family val="2"/>
          </rPr>
          <t>Résidus Alimentaires</t>
        </r>
        <r>
          <rPr>
            <sz val="9"/>
            <color indexed="81"/>
            <rFont val="Tahoma"/>
            <family val="2"/>
          </rPr>
          <t xml:space="preserve">
</t>
        </r>
      </text>
    </comment>
    <comment ref="DS196" authorId="0" shapeId="0" xr:uid="{00000000-0006-0000-0300-00004F000000}">
      <text>
        <r>
          <rPr>
            <b/>
            <sz val="9"/>
            <color indexed="81"/>
            <rFont val="Tahoma"/>
            <family val="2"/>
          </rPr>
          <t>Autres résidus organiques</t>
        </r>
        <r>
          <rPr>
            <sz val="9"/>
            <color indexed="81"/>
            <rFont val="Tahoma"/>
            <family val="2"/>
          </rPr>
          <t xml:space="preserve">
</t>
        </r>
      </text>
    </comment>
    <comment ref="EB196" authorId="0" shapeId="0" xr:uid="{00000000-0006-0000-0300-000050000000}">
      <text>
        <r>
          <rPr>
            <b/>
            <sz val="9"/>
            <color indexed="81"/>
            <rFont val="Tahoma"/>
            <family val="2"/>
          </rPr>
          <t>Résidus Alimentaires</t>
        </r>
        <r>
          <rPr>
            <sz val="9"/>
            <color indexed="81"/>
            <rFont val="Tahoma"/>
            <family val="2"/>
          </rPr>
          <t xml:space="preserve">
</t>
        </r>
      </text>
    </comment>
    <comment ref="EF196" authorId="0" shapeId="0" xr:uid="{00000000-0006-0000-0300-000051000000}">
      <text>
        <r>
          <rPr>
            <b/>
            <sz val="9"/>
            <color indexed="81"/>
            <rFont val="Tahoma"/>
            <family val="2"/>
          </rPr>
          <t>Autres résidus organiques</t>
        </r>
        <r>
          <rPr>
            <sz val="9"/>
            <color indexed="81"/>
            <rFont val="Tahoma"/>
            <family val="2"/>
          </rPr>
          <t xml:space="preserve">
</t>
        </r>
      </text>
    </comment>
    <comment ref="X198" authorId="0" shapeId="0" xr:uid="{00000000-0006-0000-0300-000052000000}">
      <text>
        <r>
          <rPr>
            <b/>
            <sz val="9"/>
            <color indexed="81"/>
            <rFont val="Tahoma"/>
            <family val="2"/>
          </rPr>
          <t>Résidus alimentaires</t>
        </r>
        <r>
          <rPr>
            <sz val="9"/>
            <color indexed="81"/>
            <rFont val="Tahoma"/>
            <family val="2"/>
          </rPr>
          <t xml:space="preserve">
</t>
        </r>
      </text>
    </comment>
    <comment ref="AB198" authorId="0" shapeId="0" xr:uid="{00000000-0006-0000-0300-000053000000}">
      <text>
        <r>
          <rPr>
            <b/>
            <sz val="9"/>
            <color indexed="81"/>
            <rFont val="Tahoma"/>
            <family val="2"/>
          </rPr>
          <t xml:space="preserve">Autres résidus organiques : 
</t>
        </r>
        <r>
          <rPr>
            <sz val="9"/>
            <color indexed="81"/>
            <rFont val="Tahoma"/>
            <family val="2"/>
          </rPr>
          <t>Cendre, papier à mains, essuie-tout, serviettes de table, bâtons de popsicle, etc.</t>
        </r>
      </text>
    </comment>
    <comment ref="AW198" authorId="0" shapeId="0" xr:uid="{00000000-0006-0000-0300-000054000000}">
      <text>
        <r>
          <rPr>
            <b/>
            <sz val="9"/>
            <color indexed="81"/>
            <rFont val="Tahoma"/>
            <family val="2"/>
          </rPr>
          <t>Résidus alimentaires</t>
        </r>
        <r>
          <rPr>
            <sz val="9"/>
            <color indexed="81"/>
            <rFont val="Tahoma"/>
            <family val="2"/>
          </rPr>
          <t xml:space="preserve">
</t>
        </r>
      </text>
    </comment>
    <comment ref="BA198" authorId="0" shapeId="0" xr:uid="{00000000-0006-0000-0300-000055000000}">
      <text>
        <r>
          <rPr>
            <b/>
            <sz val="9"/>
            <color indexed="81"/>
            <rFont val="Tahoma"/>
            <family val="2"/>
          </rPr>
          <t xml:space="preserve">Autres résidus organiques : 
</t>
        </r>
        <r>
          <rPr>
            <sz val="9"/>
            <color indexed="81"/>
            <rFont val="Tahoma"/>
            <family val="2"/>
          </rPr>
          <t>Cendre, papier à mains, essuie-tout, serviettes de table, bâtons de popsicle, etc.</t>
        </r>
      </text>
    </comment>
    <comment ref="DO205" authorId="0" shapeId="0" xr:uid="{00000000-0006-0000-0300-000056000000}">
      <text>
        <r>
          <rPr>
            <b/>
            <sz val="9"/>
            <color indexed="81"/>
            <rFont val="Tahoma"/>
            <family val="2"/>
          </rPr>
          <t>Résidus Alimentaires</t>
        </r>
        <r>
          <rPr>
            <sz val="9"/>
            <color indexed="81"/>
            <rFont val="Tahoma"/>
            <family val="2"/>
          </rPr>
          <t xml:space="preserve">
</t>
        </r>
      </text>
    </comment>
    <comment ref="DS205" authorId="0" shapeId="0" xr:uid="{00000000-0006-0000-0300-000057000000}">
      <text>
        <r>
          <rPr>
            <b/>
            <sz val="9"/>
            <color indexed="81"/>
            <rFont val="Tahoma"/>
            <family val="2"/>
          </rPr>
          <t>Autres résidus organiques</t>
        </r>
        <r>
          <rPr>
            <sz val="9"/>
            <color indexed="81"/>
            <rFont val="Tahoma"/>
            <family val="2"/>
          </rPr>
          <t xml:space="preserve">
</t>
        </r>
      </text>
    </comment>
    <comment ref="EB205" authorId="0" shapeId="0" xr:uid="{00000000-0006-0000-0300-000058000000}">
      <text>
        <r>
          <rPr>
            <b/>
            <sz val="9"/>
            <color indexed="81"/>
            <rFont val="Tahoma"/>
            <family val="2"/>
          </rPr>
          <t>Résidus Alimentaires</t>
        </r>
        <r>
          <rPr>
            <sz val="9"/>
            <color indexed="81"/>
            <rFont val="Tahoma"/>
            <family val="2"/>
          </rPr>
          <t xml:space="preserve">
</t>
        </r>
      </text>
    </comment>
    <comment ref="EF205" authorId="0" shapeId="0" xr:uid="{00000000-0006-0000-0300-000059000000}">
      <text>
        <r>
          <rPr>
            <b/>
            <sz val="9"/>
            <color indexed="81"/>
            <rFont val="Tahoma"/>
            <family val="2"/>
          </rPr>
          <t>Autres résidus organiques</t>
        </r>
        <r>
          <rPr>
            <sz val="9"/>
            <color indexed="81"/>
            <rFont val="Tahoma"/>
            <family val="2"/>
          </rPr>
          <t xml:space="preserve">
</t>
        </r>
      </text>
    </comment>
    <comment ref="AH213" authorId="1" shapeId="0" xr:uid="{57BE2F4F-7970-4C42-922A-F6F82A04A73F}">
      <text>
        <r>
          <rPr>
            <b/>
            <sz val="9"/>
            <color indexed="81"/>
            <rFont val="Tahoma"/>
            <family val="2"/>
          </rPr>
          <t xml:space="preserve">Secteur non connu : </t>
        </r>
        <r>
          <rPr>
            <sz val="9"/>
            <color indexed="81"/>
            <rFont val="Tahoma"/>
            <family val="2"/>
          </rPr>
          <t>Utilisez cette ligne pour inscrire des données que vous ne pouvez pas associer à un ou des secteurs SCIAN prédéfinis de l'outil ou pour inscrire des données globales, si applicable.</t>
        </r>
      </text>
    </comment>
    <comment ref="X219" authorId="0" shapeId="0" xr:uid="{00000000-0006-0000-0300-00005A000000}">
      <text>
        <r>
          <rPr>
            <b/>
            <sz val="9"/>
            <color indexed="81"/>
            <rFont val="Tahoma"/>
            <family val="2"/>
          </rPr>
          <t>Résidus alimentaires</t>
        </r>
        <r>
          <rPr>
            <sz val="9"/>
            <color indexed="81"/>
            <rFont val="Tahoma"/>
            <family val="2"/>
          </rPr>
          <t xml:space="preserve">
</t>
        </r>
      </text>
    </comment>
    <comment ref="AB219" authorId="0" shapeId="0" xr:uid="{00000000-0006-0000-0300-00005B000000}">
      <text>
        <r>
          <rPr>
            <b/>
            <sz val="9"/>
            <color indexed="81"/>
            <rFont val="Tahoma"/>
            <family val="2"/>
          </rPr>
          <t xml:space="preserve">Autres résidus organiques : 
</t>
        </r>
        <r>
          <rPr>
            <sz val="9"/>
            <color indexed="81"/>
            <rFont val="Tahoma"/>
            <family val="2"/>
          </rPr>
          <t>Cendre, papier à mains, essuie-tout, serviettes de table, bâtons de popsicle, etc.</t>
        </r>
      </text>
    </comment>
    <comment ref="AW219" authorId="0" shapeId="0" xr:uid="{00000000-0006-0000-0300-00005C000000}">
      <text>
        <r>
          <rPr>
            <b/>
            <sz val="9"/>
            <color indexed="81"/>
            <rFont val="Tahoma"/>
            <family val="2"/>
          </rPr>
          <t>Résidus alimentaires</t>
        </r>
      </text>
    </comment>
    <comment ref="BA219" authorId="0" shapeId="0" xr:uid="{00000000-0006-0000-0300-00005D000000}">
      <text>
        <r>
          <rPr>
            <b/>
            <sz val="9"/>
            <color indexed="81"/>
            <rFont val="Tahoma"/>
            <family val="2"/>
          </rPr>
          <t xml:space="preserve">Autres résidus organiques : 
</t>
        </r>
        <r>
          <rPr>
            <sz val="9"/>
            <color indexed="81"/>
            <rFont val="Tahoma"/>
            <family val="2"/>
          </rPr>
          <t>Cendre, papier à mains, essuie-tout, serviettes de table, bâtons de popsicle, etc.</t>
        </r>
      </text>
    </comment>
    <comment ref="AH234" authorId="1" shapeId="0" xr:uid="{8479741D-2D72-4F7B-A903-8D1363D5148F}">
      <text>
        <r>
          <rPr>
            <b/>
            <sz val="9"/>
            <color indexed="81"/>
            <rFont val="Tahoma"/>
            <family val="2"/>
          </rPr>
          <t>Secteur non connu :</t>
        </r>
        <r>
          <rPr>
            <sz val="9"/>
            <color indexed="81"/>
            <rFont val="Tahoma"/>
            <family val="2"/>
          </rPr>
          <t xml:space="preserve"> Utilisez cette ligne pour inscrire des données que vous ne pouvez pas associer à un ou des secteurs SCIAN prédéfinis de l'outil  ou pour inscrire des données globales, si applicable.</t>
        </r>
      </text>
    </comment>
    <comment ref="AG238" authorId="0" shapeId="0" xr:uid="{00000000-0006-0000-0300-00005E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cette fiche.</t>
        </r>
      </text>
    </comment>
    <comment ref="K245" authorId="0" shapeId="0" xr:uid="{00000000-0006-0000-0300-00005F000000}">
      <text>
        <r>
          <rPr>
            <sz val="9"/>
            <color indexed="81"/>
            <rFont val="Tahoma"/>
            <family val="2"/>
          </rPr>
          <t>SI DISPONIBLES, inscrire les quantités récupérées et éliminées (en tonnes) dans le tableau ci-dessous pour chaque type de résidus de transformation industrielle, et ce, pour l’année de référence. 
S’il existe d’autres types de résidus non cités dans la liste, veuillez saisir également les tonnages associés dans la catégorie « Autres résidus » et précisez le type de matières.
ASSUREZ-VOUS QUE LES DONNÉES INSCRITES N'ONT PAS DÉJÀ ÉTÉ COMPTABILISÉES AUX POINTS 3.1 ET 3.2.</t>
        </r>
      </text>
    </comment>
    <comment ref="I248" authorId="0" shapeId="0" xr:uid="{00000000-0006-0000-0300-000060000000}">
      <text>
        <r>
          <rPr>
            <b/>
            <sz val="9"/>
            <color indexed="81"/>
            <rFont val="Tahoma"/>
            <family val="2"/>
          </rPr>
          <t xml:space="preserve">Autres résidus marins :
</t>
        </r>
        <r>
          <rPr>
            <sz val="9"/>
            <color indexed="81"/>
            <rFont val="Tahoma"/>
            <family val="2"/>
          </rPr>
          <t>Exclus du code scian 3117 – Préparation et conditionnement de poissons et de fruits de mer)</t>
        </r>
      </text>
    </comment>
    <comment ref="AB268" authorId="2" shapeId="0" xr:uid="{00000000-0006-0000-0300-000061000000}">
      <text>
        <r>
          <rPr>
            <b/>
            <sz val="9"/>
            <color indexed="81"/>
            <rFont val="Tahoma"/>
            <family val="2"/>
          </rPr>
          <t xml:space="preserve">Données à utiliser :
</t>
        </r>
        <r>
          <rPr>
            <sz val="9"/>
            <color indexed="81"/>
            <rFont val="Tahoma"/>
            <family val="2"/>
          </rPr>
          <t>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r>
          <rPr>
            <b/>
            <sz val="9"/>
            <color indexed="81"/>
            <rFont val="Tahoma"/>
            <family val="2"/>
          </rPr>
          <t xml:space="preserve">
</t>
        </r>
      </text>
    </comment>
    <comment ref="AG279" authorId="0" shapeId="0" xr:uid="{00000000-0006-0000-0300-000062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MG</author>
    <author>Joao</author>
    <author>Kateri Beaulne-Belisle</author>
  </authors>
  <commentList>
    <comment ref="J5" authorId="0" shapeId="0" xr:uid="{00000000-0006-0000-0500-000001000000}">
      <text>
        <r>
          <rPr>
            <sz val="9"/>
            <color indexed="81"/>
            <rFont val="Tahoma"/>
            <family val="2"/>
          </rPr>
          <t>Cet indicateur est représentatif des activités de l’industrie générant les résidus de CRD, puisqu’il est directement lié à la valeur des chantiers de construction qu'ils soient des secteurs résidentiel, institutionnel, commercial ou industriel.</t>
        </r>
      </text>
    </comment>
    <comment ref="U5" authorId="1" shapeId="0" xr:uid="{00000000-0006-0000-0500-000002000000}">
      <text>
        <r>
          <rPr>
            <b/>
            <sz val="9"/>
            <color indexed="81"/>
            <rFont val="Tahoma"/>
            <family val="2"/>
          </rPr>
          <t>Valeur des permis à bâtir :</t>
        </r>
        <r>
          <rPr>
            <sz val="9"/>
            <color indexed="81"/>
            <rFont val="Tahoma"/>
            <family val="2"/>
          </rPr>
          <t xml:space="preserve">
Inscrire la valeur des permis à bâtir du territoire pour l'année de référence. 
Pour ce faire, utiliser le lien afin d'accéder aux données de l'Institut de la Statistique du Québec (ISQ)</t>
        </r>
      </text>
    </comment>
    <comment ref="S11" authorId="0" shapeId="0" xr:uid="{00000000-0006-0000-0500-000003000000}">
      <text>
        <r>
          <rPr>
            <b/>
            <sz val="9"/>
            <color indexed="81"/>
            <rFont val="Tahoma"/>
            <family val="2"/>
          </rPr>
          <t xml:space="preserve">Données à utiliser :
</t>
        </r>
        <r>
          <rPr>
            <sz val="9"/>
            <color indexed="81"/>
            <rFont val="Tahoma"/>
            <family val="2"/>
          </rPr>
          <t>Indiquez la source des données à utiliser dans les résultats. Si vous utilisez vos propres données, assurez-vous de remplir toutes les cases orange. Au besoin, copiez les données suggérées par l'outil. 
Si vous utilisez vos données, assurez-vous qu'elles soient complètes et vérifiables.</t>
        </r>
        <r>
          <rPr>
            <b/>
            <sz val="9"/>
            <color indexed="81"/>
            <rFont val="Tahoma"/>
            <family val="2"/>
          </rPr>
          <t xml:space="preserve">
</t>
        </r>
      </text>
    </comment>
    <comment ref="Q16" authorId="2" shapeId="0" xr:uid="{0FD8373A-E1F5-4170-86E0-3ED9418CAD92}">
      <text>
        <r>
          <rPr>
            <b/>
            <sz val="9"/>
            <color indexed="81"/>
            <rFont val="Tahoma"/>
            <family val="2"/>
          </rPr>
          <t xml:space="preserve">Récupéré : </t>
        </r>
        <r>
          <rPr>
            <sz val="9"/>
            <color indexed="81"/>
            <rFont val="Tahoma"/>
            <family val="2"/>
          </rPr>
          <t>Résidus de CRD acheminés à des fins de recyclage ou de valorisation énergétique</t>
        </r>
      </text>
    </comment>
    <comment ref="AA16" authorId="2" shapeId="0" xr:uid="{160C898A-9351-400E-8A87-C8DE903AE374}">
      <text>
        <r>
          <rPr>
            <b/>
            <sz val="9"/>
            <color indexed="81"/>
            <rFont val="Tahoma"/>
            <family val="2"/>
          </rPr>
          <t xml:space="preserve">Usages en lieu d'enfouissement </t>
        </r>
        <r>
          <rPr>
            <sz val="9"/>
            <color indexed="81"/>
            <rFont val="Tahoma"/>
            <family val="2"/>
          </rPr>
          <t xml:space="preserve">: Résidus de centres de tri de CRD utilisés comme matériel de recouvrement ou autres usages en lieu d'enfouissement (ex. : chemins d'accès)
</t>
        </r>
      </text>
    </comment>
    <comment ref="AU16" authorId="2" shapeId="0" xr:uid="{BDF28648-6822-4D2C-94FE-B34C6C2B0BFA}">
      <text>
        <r>
          <rPr>
            <b/>
            <sz val="9"/>
            <color indexed="81"/>
            <rFont val="Tahoma"/>
            <family val="2"/>
          </rPr>
          <t xml:space="preserve">Récupéré : </t>
        </r>
        <r>
          <rPr>
            <sz val="9"/>
            <color indexed="81"/>
            <rFont val="Tahoma"/>
            <family val="2"/>
          </rPr>
          <t>Résidus de CRD acheminés à des fins de recyclage ou de valorisation énergétique</t>
        </r>
      </text>
    </comment>
    <comment ref="BE16" authorId="2" shapeId="0" xr:uid="{3836B21B-B76A-4BF1-BDAC-FF2A1C7D7111}">
      <text>
        <r>
          <rPr>
            <b/>
            <sz val="9"/>
            <color indexed="81"/>
            <rFont val="Tahoma"/>
            <family val="2"/>
          </rPr>
          <t xml:space="preserve">Usages en lieu d'enfouissement : </t>
        </r>
        <r>
          <rPr>
            <sz val="9"/>
            <color indexed="81"/>
            <rFont val="Tahoma"/>
            <family val="2"/>
          </rPr>
          <t>Résidus de centres de tri de CRD utilisés comme matériel de recouvrement ou autres usages en lieu d'enfouissement (ex. : chemins d'accès)</t>
        </r>
      </text>
    </comment>
    <comment ref="J22" authorId="2" shapeId="0" xr:uid="{F3C87A22-026C-4826-BA29-800FEF26CBF8}">
      <text>
        <r>
          <rPr>
            <b/>
            <sz val="9"/>
            <color indexed="81"/>
            <rFont val="Tahoma"/>
            <family val="2"/>
          </rPr>
          <t>Non-agrégats autres :</t>
        </r>
        <r>
          <rPr>
            <sz val="9"/>
            <color indexed="81"/>
            <rFont val="Tahoma"/>
            <family val="2"/>
          </rPr>
          <t xml:space="preserve">
Métaux, carton, plastiques, verre plat et autre verre, laine minérale et autres isolants, céramique et porcelaine, etc.</t>
        </r>
      </text>
    </comment>
    <comment ref="AN22" authorId="2" shapeId="0" xr:uid="{8A502BC4-5262-4436-942F-9071E9366E8C}">
      <text>
        <r>
          <rPr>
            <b/>
            <sz val="9"/>
            <color indexed="81"/>
            <rFont val="Tahoma"/>
            <family val="2"/>
          </rPr>
          <t xml:space="preserve">Non-agrégats autres :
</t>
        </r>
        <r>
          <rPr>
            <sz val="9"/>
            <color indexed="81"/>
            <rFont val="Tahoma"/>
            <family val="2"/>
          </rPr>
          <t>Métaux, carton, plastiques, verre plat et autre verre, laine minérale et autres isolants, céramique et porcelaine, etc.</t>
        </r>
      </text>
    </comment>
    <comment ref="I23" authorId="2" shapeId="0" xr:uid="{89049EDB-1D9F-47A7-952F-E03B60BD6AA8}">
      <text>
        <r>
          <rPr>
            <b/>
            <sz val="9"/>
            <color indexed="81"/>
            <rFont val="Tahoma"/>
            <charset val="1"/>
          </rPr>
          <t>Rejets de centres de tri de CRD :</t>
        </r>
        <r>
          <rPr>
            <sz val="9"/>
            <color indexed="81"/>
            <rFont val="Tahoma"/>
            <family val="2"/>
          </rPr>
          <t xml:space="preserve"> Les rejets de centres de tri ayant été éliminés apparaissent dans la colonne "Éliminé", alors que ceux qui ont été utilisés dans un lieu d'enfouissement comme matériel de recouvrement ou autre, apparaissent dans la colonne "Usages en lieu d'enfouissement".
La composition des rejets de centres de tri de CRD est inconnue. Ainsi, les rejets sont présentés séparément des catégories de CRD (gypse, bardeaux, bois, etc.), même s'ils sont composés d'un mélange de résidus appartenant à ces dernières.</t>
        </r>
      </text>
    </comment>
    <comment ref="AM23" authorId="2" shapeId="0" xr:uid="{5A8B9BE5-C46E-484E-9B51-0B2E01A8C470}">
      <text>
        <r>
          <rPr>
            <b/>
            <sz val="9"/>
            <color indexed="81"/>
            <rFont val="Tahoma"/>
            <family val="2"/>
          </rPr>
          <t xml:space="preserve">Rejets de centres de tri de CRD : </t>
        </r>
        <r>
          <rPr>
            <sz val="9"/>
            <color indexed="81"/>
            <rFont val="Tahoma"/>
            <family val="2"/>
          </rPr>
          <t>Inscrivez les quantités de rejets de centres de tri CRD éliminés dans la colonne "Éliminé", et les rejets qui ont été utilisés dans un lieu d'enfouissement, dans la colonne "Usages en lieu d'enfouissement".</t>
        </r>
      </text>
    </comment>
    <comment ref="AJ27" authorId="1" shapeId="0" xr:uid="{00000000-0006-0000-0500-000004000000}">
      <text>
        <r>
          <rPr>
            <b/>
            <sz val="9"/>
            <color indexed="81"/>
            <rFont val="Tahoma"/>
            <family val="2"/>
          </rPr>
          <t>Marge de validation recommandée</t>
        </r>
        <r>
          <rPr>
            <sz val="9"/>
            <color indexed="81"/>
            <rFont val="Tahoma"/>
            <family val="2"/>
          </rPr>
          <t xml:space="preserve">
Les données fournies par l'outil sont basées sur des moyennes québécoises. Il est donc normal qu'il y ait un écart entre vos données (si vous en avez saisies) et celles suggérées. La marge de validation considérée comme acceptable est indiquée au début de la page.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Joao</author>
  </authors>
  <commentList>
    <comment ref="E6" authorId="0" shapeId="0" xr:uid="{00000000-0006-0000-0A00-000001000000}">
      <text>
        <r>
          <rPr>
            <b/>
            <sz val="9"/>
            <color indexed="81"/>
            <rFont val="Tahoma"/>
            <family val="2"/>
          </rPr>
          <t>deroulant_outil_utilisateur</t>
        </r>
      </text>
    </comment>
    <comment ref="G6" authorId="0" shapeId="0" xr:uid="{00000000-0006-0000-0A00-000002000000}">
      <text>
        <r>
          <rPr>
            <b/>
            <sz val="9"/>
            <color indexed="81"/>
            <rFont val="Tahoma"/>
            <family val="2"/>
          </rPr>
          <t>deroulant_collecte_MO</t>
        </r>
      </text>
    </comment>
    <comment ref="I6" authorId="0" shapeId="0" xr:uid="{00000000-0006-0000-0A00-000003000000}">
      <text>
        <r>
          <rPr>
            <b/>
            <sz val="9"/>
            <color indexed="81"/>
            <rFont val="Tahoma"/>
            <family val="2"/>
          </rPr>
          <t xml:space="preserve">deroulant_destination_boues
</t>
        </r>
      </text>
    </comment>
    <comment ref="E7" authorId="0" shapeId="0" xr:uid="{00000000-0006-0000-0A00-000004000000}">
      <text>
        <r>
          <rPr>
            <b/>
            <sz val="9"/>
            <color indexed="81"/>
            <rFont val="Tahoma"/>
            <family val="2"/>
          </rPr>
          <t>menu_outil</t>
        </r>
      </text>
    </comment>
    <comment ref="E8" authorId="0" shapeId="0" xr:uid="{00000000-0006-0000-0A00-000005000000}">
      <text>
        <r>
          <rPr>
            <b/>
            <sz val="9"/>
            <color indexed="81"/>
            <rFont val="Tahoma"/>
            <family val="2"/>
          </rPr>
          <t>menu_utilisateur</t>
        </r>
      </text>
    </comment>
  </commentList>
</comments>
</file>

<file path=xl/sharedStrings.xml><?xml version="1.0" encoding="utf-8"?>
<sst xmlns="http://schemas.openxmlformats.org/spreadsheetml/2006/main" count="1509" uniqueCount="811">
  <si>
    <t>Boues de stations de traitement</t>
  </si>
  <si>
    <t>étang aéré</t>
  </si>
  <si>
    <t>fosse septique</t>
  </si>
  <si>
    <t>Total BSM</t>
  </si>
  <si>
    <t>Total BEA</t>
  </si>
  <si>
    <t>Total BFS</t>
  </si>
  <si>
    <t xml:space="preserve">Total </t>
  </si>
  <si>
    <t>Activités de sensibilisation?</t>
  </si>
  <si>
    <t>res_utiliser_boues</t>
  </si>
  <si>
    <t>Outil - sans ajustements</t>
  </si>
  <si>
    <t>Rejets</t>
  </si>
  <si>
    <t>Total PCPVM</t>
  </si>
  <si>
    <t>Total M.O.</t>
  </si>
  <si>
    <t>Collecte aupres ICI ?</t>
  </si>
  <si>
    <t>Pop. villes collecte ICI?</t>
  </si>
  <si>
    <t>Données des ICI collectées avec municipal</t>
  </si>
  <si>
    <t>Outil - ajusté avec les ICI collectés avec residentiel</t>
  </si>
  <si>
    <t>Taux rejets</t>
  </si>
  <si>
    <t>Centre tri</t>
  </si>
  <si>
    <t>res_utiliser_rejets</t>
  </si>
  <si>
    <t>Outil</t>
  </si>
  <si>
    <t>Rejets traitement</t>
  </si>
  <si>
    <t>ici_utiliser_rejets</t>
  </si>
  <si>
    <t>Outil - (sans ajustements)</t>
  </si>
  <si>
    <t>Saisie utilisateur - (sans ajustements)</t>
  </si>
  <si>
    <t>À utiliser dans les résultats - ajusté</t>
  </si>
  <si>
    <t>Données des ICI collectées avec municipal - données changées pour 0 (zéro)</t>
  </si>
  <si>
    <t>Taux déchets</t>
  </si>
  <si>
    <t>Outil - non ajustés</t>
  </si>
  <si>
    <t>PCPVM</t>
  </si>
  <si>
    <t>Secteur CRD - Données</t>
  </si>
  <si>
    <t>Secteur Résidentiel - Données</t>
  </si>
  <si>
    <t>PAPIER/CARTON</t>
  </si>
  <si>
    <t>VERRE</t>
  </si>
  <si>
    <t>PLASTIQUE</t>
  </si>
  <si>
    <t>MÉTAL</t>
  </si>
  <si>
    <t>RÉSIDUS DE CRD</t>
  </si>
  <si>
    <t>RÉSIDUS ULTIMES</t>
  </si>
  <si>
    <t>RÉSIDUS DOMESTIQUES DANGEREUX</t>
  </si>
  <si>
    <t>RÉSIDUS DE TRANSFORMATION INDUSTRIELLE</t>
  </si>
  <si>
    <t>AUTRES RÉSIDUS</t>
  </si>
  <si>
    <t>BOUES MUNICIPALES</t>
  </si>
  <si>
    <t>Région administrative</t>
  </si>
  <si>
    <t>CRD</t>
  </si>
  <si>
    <t>Informations générales sur le territoire</t>
  </si>
  <si>
    <t xml:space="preserve">Année de référence : </t>
  </si>
  <si>
    <t xml:space="preserve">Région administrative : </t>
  </si>
  <si>
    <t xml:space="preserve">Personne-ressource : </t>
  </si>
  <si>
    <t>Oui</t>
  </si>
  <si>
    <t>Non</t>
  </si>
  <si>
    <t>Taux unitaires d'estimation</t>
  </si>
  <si>
    <t>Résultats obtenus</t>
  </si>
  <si>
    <t>(kg/pers/an)</t>
  </si>
  <si>
    <t>Bas-Saint-Laurent</t>
  </si>
  <si>
    <t>Taux de récupération</t>
  </si>
  <si>
    <t>Taux d'élimination</t>
  </si>
  <si>
    <t>Saguenay-Lac-Saint-Jean</t>
  </si>
  <si>
    <t>Capitale-Nationale</t>
  </si>
  <si>
    <t>Mauricie</t>
  </si>
  <si>
    <t>Estrie</t>
  </si>
  <si>
    <t>Montréal</t>
  </si>
  <si>
    <t>Outaouais</t>
  </si>
  <si>
    <t>Abitibi-Témiscamingue</t>
  </si>
  <si>
    <t>Côte-Nord</t>
  </si>
  <si>
    <t>Nord-du-Québec</t>
  </si>
  <si>
    <t>Gaspésie-Iles-de-la-Madeleine</t>
  </si>
  <si>
    <t>Chaudières-Appalaches</t>
  </si>
  <si>
    <t>Laval</t>
  </si>
  <si>
    <t>Lanaudière</t>
  </si>
  <si>
    <t>Laurentides</t>
  </si>
  <si>
    <t>Montérégie</t>
  </si>
  <si>
    <t>Centre-du-Québec</t>
  </si>
  <si>
    <t>Résidus de bois de transformation industrielle</t>
  </si>
  <si>
    <t>Catégories</t>
  </si>
  <si>
    <t>Taux unitaires d’estimation</t>
  </si>
  <si>
    <t>(kg/an/k$)</t>
  </si>
  <si>
    <t xml:space="preserve">CRD totaux </t>
  </si>
  <si>
    <t>Résidus de construction, rénovation et démolition (CRD)</t>
  </si>
  <si>
    <t>Menu déroulant :</t>
  </si>
  <si>
    <t>lien</t>
  </si>
  <si>
    <t>gen_annee</t>
  </si>
  <si>
    <t>gen_ressource</t>
  </si>
  <si>
    <t>crd_permis</t>
  </si>
  <si>
    <t>crd_parasites</t>
  </si>
  <si>
    <t>crd_tonne_R_totaux</t>
  </si>
  <si>
    <t>crd_tonne_R_agregats</t>
  </si>
  <si>
    <t>crd_tonne_R_NA_totaux</t>
  </si>
  <si>
    <t>crd_tonne_R_NA_bois</t>
  </si>
  <si>
    <t>crd_tonne_R_NA_autres</t>
  </si>
  <si>
    <t>Bas-Saint-Laurent_R</t>
  </si>
  <si>
    <t>Bas-Saint-Laurent_E</t>
  </si>
  <si>
    <t>Saguenay-Lac-Saint-Jean_R</t>
  </si>
  <si>
    <t>Saguenay-Lac-Saint-Jean_E</t>
  </si>
  <si>
    <t>Capitale-Nationale_R</t>
  </si>
  <si>
    <t>Capitale-Nationale_E</t>
  </si>
  <si>
    <t>Mauricie_R</t>
  </si>
  <si>
    <t>Mauricie_E</t>
  </si>
  <si>
    <t>Estrie_R</t>
  </si>
  <si>
    <t>Estrie_E</t>
  </si>
  <si>
    <t>Montréal_R</t>
  </si>
  <si>
    <t>Montréal_E</t>
  </si>
  <si>
    <t>Outaouais_R</t>
  </si>
  <si>
    <t>Outaouais_E</t>
  </si>
  <si>
    <t>Abitibi-Témiscamingue_R</t>
  </si>
  <si>
    <t>Abitibi-Témiscamingue_E</t>
  </si>
  <si>
    <t>Côte-Nord_R</t>
  </si>
  <si>
    <t>Côte-Nord_E</t>
  </si>
  <si>
    <t>Nord-du-Québec_R</t>
  </si>
  <si>
    <t>Nord-du-Québec_E</t>
  </si>
  <si>
    <t>Gaspésie-Iles-de-la-Madeleine_R</t>
  </si>
  <si>
    <t>Gaspésie-Iles-de-la-Madeleine_E</t>
  </si>
  <si>
    <t>Chaudières-Appalaches_R</t>
  </si>
  <si>
    <t>Chaudières-Appalaches_E</t>
  </si>
  <si>
    <t>Laval_R</t>
  </si>
  <si>
    <t>Laval_E</t>
  </si>
  <si>
    <t>Lanaudière_R</t>
  </si>
  <si>
    <t>Lanaudière_E</t>
  </si>
  <si>
    <t>Laurentides_R</t>
  </si>
  <si>
    <t>Laurentides_E</t>
  </si>
  <si>
    <t>Montérégie_R</t>
  </si>
  <si>
    <t>Montérégie_E</t>
  </si>
  <si>
    <t>Centre-du-Québec_R</t>
  </si>
  <si>
    <t>Centre-du-Québec_E</t>
  </si>
  <si>
    <t>Élimination</t>
  </si>
  <si>
    <t>Gypse</t>
  </si>
  <si>
    <t>ICI</t>
  </si>
  <si>
    <t>crd_tonne_R_NA_gypse</t>
  </si>
  <si>
    <t>crd_tonne_R_NA_bardeau</t>
  </si>
  <si>
    <t>Maladies et parasites :</t>
  </si>
  <si>
    <t>Masquer</t>
  </si>
  <si>
    <t>Kamouraska</t>
  </si>
  <si>
    <t>La Matapédia</t>
  </si>
  <si>
    <t>La Mitis</t>
  </si>
  <si>
    <t>Les Basques</t>
  </si>
  <si>
    <t>Matane</t>
  </si>
  <si>
    <t>Rimouski-Neigette</t>
  </si>
  <si>
    <t>Rivière-du-Loup</t>
  </si>
  <si>
    <t>Témiscouata</t>
  </si>
  <si>
    <t>Lac-Saint-Jean-Est</t>
  </si>
  <si>
    <t>Le Domaine-du-Roy</t>
  </si>
  <si>
    <t>Le Fjord-du-Saguenay</t>
  </si>
  <si>
    <t>Maria-Chapdelaine</t>
  </si>
  <si>
    <t>Saguenay</t>
  </si>
  <si>
    <t>Charlevoix</t>
  </si>
  <si>
    <t>Charlevoix-Est</t>
  </si>
  <si>
    <t>La Côte-de-Beaupré</t>
  </si>
  <si>
    <t>La Jacques-Cartier</t>
  </si>
  <si>
    <t>L'Île-d'Orléans</t>
  </si>
  <si>
    <t>Portneuf</t>
  </si>
  <si>
    <t>Québec</t>
  </si>
  <si>
    <t>La Tuque</t>
  </si>
  <si>
    <t>Les Chenaux</t>
  </si>
  <si>
    <t>Maskinongé</t>
  </si>
  <si>
    <t>Mékinac</t>
  </si>
  <si>
    <t>Shawinigan</t>
  </si>
  <si>
    <t>Trois-Rivières</t>
  </si>
  <si>
    <t>Coaticook</t>
  </si>
  <si>
    <t>Le Granit</t>
  </si>
  <si>
    <t>Le Haut-Saint-François</t>
  </si>
  <si>
    <t>Le Val-Saint-François</t>
  </si>
  <si>
    <t>Les Sources</t>
  </si>
  <si>
    <t>Memphrémagog</t>
  </si>
  <si>
    <t>Sherbrooke</t>
  </si>
  <si>
    <t>Gatineau</t>
  </si>
  <si>
    <t>La Vallée-de-la-Gatineau</t>
  </si>
  <si>
    <t>Les Collines-de-l'Outaouais</t>
  </si>
  <si>
    <t>Papineau</t>
  </si>
  <si>
    <t>Pontiac</t>
  </si>
  <si>
    <t>Abitibi</t>
  </si>
  <si>
    <t>Abitibi-Ouest</t>
  </si>
  <si>
    <t>La Vallée-de-l'Or</t>
  </si>
  <si>
    <t>Rouyn-Noranda</t>
  </si>
  <si>
    <t>Témiscamingue</t>
  </si>
  <si>
    <t>Caniapiscau</t>
  </si>
  <si>
    <t>La Haute-Côte-Nord</t>
  </si>
  <si>
    <t>Le Golfe-du-Saint-Laurent</t>
  </si>
  <si>
    <t>Manicouagan</t>
  </si>
  <si>
    <t>Minganie</t>
  </si>
  <si>
    <t>Sept-Rivières</t>
  </si>
  <si>
    <t>Jamésie</t>
  </si>
  <si>
    <t>Kativik</t>
  </si>
  <si>
    <t>Avignon</t>
  </si>
  <si>
    <t>Bonaventure</t>
  </si>
  <si>
    <t>La Côte-de-Gaspé</t>
  </si>
  <si>
    <t>La Haute-Gaspésie</t>
  </si>
  <si>
    <t>Le Rocher-Percé</t>
  </si>
  <si>
    <t>Les Îles-de-la-Madeleine</t>
  </si>
  <si>
    <t>Beauce-Sartigan</t>
  </si>
  <si>
    <t>Bellechasse</t>
  </si>
  <si>
    <t>La Nouvelle-Beauce</t>
  </si>
  <si>
    <t>Les Appalaches</t>
  </si>
  <si>
    <t>Les Etchemins</t>
  </si>
  <si>
    <t>Lévis</t>
  </si>
  <si>
    <t>L'Islet</t>
  </si>
  <si>
    <t>Lotbinière</t>
  </si>
  <si>
    <t>Montmagny</t>
  </si>
  <si>
    <t>Robert-Cliche</t>
  </si>
  <si>
    <t>D'Autray</t>
  </si>
  <si>
    <t>Joliette</t>
  </si>
  <si>
    <t>L'Assomption</t>
  </si>
  <si>
    <t>Les Moulins</t>
  </si>
  <si>
    <t>Matawinie</t>
  </si>
  <si>
    <t>Montcalm</t>
  </si>
  <si>
    <t>Antoine-Labelle</t>
  </si>
  <si>
    <t>Argenteuil</t>
  </si>
  <si>
    <t>Deux-Montagnes</t>
  </si>
  <si>
    <t>La Rivière-du-Nord</t>
  </si>
  <si>
    <t>Les Laurentides</t>
  </si>
  <si>
    <t>Les Pays-d'en-Haut</t>
  </si>
  <si>
    <t>Mirabel</t>
  </si>
  <si>
    <t>Thérèse-De Blainville</t>
  </si>
  <si>
    <t>Acton</t>
  </si>
  <si>
    <t>Beauharnois-Salaberry</t>
  </si>
  <si>
    <t>Brome-Missisquoi</t>
  </si>
  <si>
    <t>La Haute-Yamaska</t>
  </si>
  <si>
    <t>La Vallée-du-Richelieu</t>
  </si>
  <si>
    <t>Le Haut-Richelieu</t>
  </si>
  <si>
    <t>Le Haut-Saint-Laurent</t>
  </si>
  <si>
    <t>Les Jardins-de-Napierville</t>
  </si>
  <si>
    <t>Les Maskoutains</t>
  </si>
  <si>
    <t>Longueuil</t>
  </si>
  <si>
    <t>Marguerite-D'Youville</t>
  </si>
  <si>
    <t>Pierre-De Saurel</t>
  </si>
  <si>
    <t>Roussillon</t>
  </si>
  <si>
    <t>Rouville</t>
  </si>
  <si>
    <t>Vaudreuil-Soulanges</t>
  </si>
  <si>
    <t>Arthabaska</t>
  </si>
  <si>
    <t>Bécancour</t>
  </si>
  <si>
    <t>Drummond</t>
  </si>
  <si>
    <t>L'Érable</t>
  </si>
  <si>
    <t>Nicolet-Yamaska</t>
  </si>
  <si>
    <t>RA_1</t>
  </si>
  <si>
    <t>RA_2</t>
  </si>
  <si>
    <t>RA_3</t>
  </si>
  <si>
    <t>RA_4</t>
  </si>
  <si>
    <t>RA_5</t>
  </si>
  <si>
    <t>RA_6</t>
  </si>
  <si>
    <t>RA_7</t>
  </si>
  <si>
    <t>RA_8</t>
  </si>
  <si>
    <t>RA_9</t>
  </si>
  <si>
    <t>RA_10</t>
  </si>
  <si>
    <t>RA_11</t>
  </si>
  <si>
    <t>RA_12</t>
  </si>
  <si>
    <t>RA_13</t>
  </si>
  <si>
    <t>RA_14</t>
  </si>
  <si>
    <t>RA_15</t>
  </si>
  <si>
    <t>RA_16</t>
  </si>
  <si>
    <t>RA_17</t>
  </si>
  <si>
    <t>MRC et TE</t>
  </si>
  <si>
    <t>Région Administrative</t>
  </si>
  <si>
    <t>Ä</t>
  </si>
  <si>
    <t xml:space="preserve">Attention </t>
  </si>
  <si>
    <t>RA</t>
  </si>
  <si>
    <t>Nb</t>
  </si>
  <si>
    <t>========================================================================</t>
  </si>
  <si>
    <t>Données suggérées par l'outil</t>
  </si>
  <si>
    <t>Menu déroulant jnsp :</t>
  </si>
  <si>
    <t>ligne</t>
  </si>
  <si>
    <t>Residentiel</t>
  </si>
  <si>
    <t>General</t>
  </si>
  <si>
    <t>Resultat</t>
  </si>
  <si>
    <t>Lien</t>
  </si>
  <si>
    <t>Phrase</t>
  </si>
  <si>
    <t>Ligne</t>
  </si>
  <si>
    <t>Tab_col</t>
  </si>
  <si>
    <t>Alerte</t>
  </si>
  <si>
    <t>A_Remplir</t>
  </si>
  <si>
    <t>Liste de Styles</t>
  </si>
  <si>
    <t>puce1</t>
  </si>
  <si>
    <t>puce2</t>
  </si>
  <si>
    <t>ü</t>
  </si>
  <si>
    <t>Tab_ligne1</t>
  </si>
  <si>
    <t>Tab_ligne2</t>
  </si>
  <si>
    <t>Tab_ligne3</t>
  </si>
  <si>
    <t>crd_utiliser_donnees</t>
  </si>
  <si>
    <t>Agrégats</t>
  </si>
  <si>
    <t>Total</t>
  </si>
  <si>
    <t xml:space="preserve">Non-agrégats : </t>
  </si>
  <si>
    <t>Bois de construction</t>
  </si>
  <si>
    <t>Bardeaux d'asphalte</t>
  </si>
  <si>
    <t>Autres</t>
  </si>
  <si>
    <t>Informations générales - Résultats</t>
  </si>
  <si>
    <t xml:space="preserve">Territoire visé : </t>
  </si>
  <si>
    <t xml:space="preserve">Compétence en terme de GMR : </t>
  </si>
  <si>
    <t>Résidus de CRD</t>
  </si>
  <si>
    <t>Récupéré</t>
  </si>
  <si>
    <t>Éliminé</t>
  </si>
  <si>
    <t>Généré</t>
  </si>
  <si>
    <t>TOTAL</t>
  </si>
  <si>
    <t>années</t>
  </si>
  <si>
    <t>Resultat2</t>
  </si>
  <si>
    <t>numero</t>
  </si>
  <si>
    <t>Quelles autres informations? Année? Population? Responsable? Etc</t>
  </si>
  <si>
    <t>Aucun message d'alerte</t>
  </si>
  <si>
    <t>Validation des données - Alertes</t>
  </si>
  <si>
    <t>messages d'alerte</t>
  </si>
  <si>
    <t>↘</t>
  </si>
  <si>
    <t>Activation globale</t>
  </si>
  <si>
    <t>Désactivation globale</t>
  </si>
  <si>
    <t>Choix individuel</t>
  </si>
  <si>
    <t>Activation globale des alertes</t>
  </si>
  <si>
    <t>Activation individuelle des</t>
  </si>
  <si>
    <t>Menu déroulant activation G:</t>
  </si>
  <si>
    <t>Menu déroulant activation I:</t>
  </si>
  <si>
    <t>Activer</t>
  </si>
  <si>
    <t>Désactiver</t>
  </si>
  <si>
    <t>Numéro section</t>
  </si>
  <si>
    <t>Numéro donnée</t>
  </si>
  <si>
    <t>donnees_calculs</t>
  </si>
  <si>
    <t>donnees_infos</t>
  </si>
  <si>
    <t>Données saisies par l'utilisateur</t>
  </si>
  <si>
    <t>Valeurs à utiliser dans les résultats</t>
  </si>
  <si>
    <t>N.D.</t>
  </si>
  <si>
    <t>N.A.</t>
  </si>
  <si>
    <t>Ne sais pas</t>
  </si>
  <si>
    <t>erreur1</t>
  </si>
  <si>
    <t>utilisateur</t>
  </si>
  <si>
    <t>outil</t>
  </si>
  <si>
    <t>retour</t>
  </si>
  <si>
    <t xml:space="preserve">
   </t>
  </si>
  <si>
    <t xml:space="preserve"> (Données de l'utilisateur)</t>
  </si>
  <si>
    <t xml:space="preserve"> (Données de l'outil)</t>
  </si>
  <si>
    <t>TOTAL estimé par l'outil</t>
  </si>
  <si>
    <t>Q2</t>
  </si>
  <si>
    <t>Q1</t>
  </si>
  <si>
    <t>Q3</t>
  </si>
  <si>
    <t>crd_tonne_R_industrielle</t>
  </si>
  <si>
    <t>txt_N.D.</t>
  </si>
  <si>
    <t>txt_N.A.</t>
  </si>
  <si>
    <t>txt_outil</t>
  </si>
  <si>
    <t>txt_utilisateur</t>
  </si>
  <si>
    <t>question_outil_utilisateur</t>
  </si>
  <si>
    <t>Auteur</t>
  </si>
  <si>
    <t>Titre</t>
  </si>
  <si>
    <t xml:space="preserve">CRD - Sources des données : </t>
  </si>
  <si>
    <t>Liste des sources utilisées dans l'outil</t>
  </si>
  <si>
    <t xml:space="preserve">Résidentiel - Sources des données : </t>
  </si>
  <si>
    <t xml:space="preserve">ICI - Sources des données : </t>
  </si>
  <si>
    <t>Utilisées dans la section :</t>
  </si>
  <si>
    <t>Menu déroulant Outil/Utilisateur</t>
  </si>
  <si>
    <t>Mes données</t>
  </si>
  <si>
    <t xml:space="preserve"> - UTILISÉES DANS LES RÉSULTATS</t>
  </si>
  <si>
    <t xml:space="preserve"> (fournies à titre indicatif seulement) </t>
  </si>
  <si>
    <t>texte_marge</t>
  </si>
  <si>
    <t>titre_marge</t>
  </si>
  <si>
    <t>Résidentiel</t>
  </si>
  <si>
    <t>Texte</t>
  </si>
  <si>
    <t>erreur2</t>
  </si>
  <si>
    <t>erreur_a_la</t>
  </si>
  <si>
    <t>erreur_aux</t>
  </si>
  <si>
    <t>tableau en erreur</t>
  </si>
  <si>
    <t>Cases vertes :</t>
  </si>
  <si>
    <t xml:space="preserve">Cases grises : </t>
  </si>
  <si>
    <t>Données à saisir.</t>
  </si>
  <si>
    <t>Données saisies.</t>
  </si>
  <si>
    <t>Données calculées par l'outil.</t>
  </si>
  <si>
    <t>Légende des couleurs des cases</t>
  </si>
  <si>
    <t>Lien internet vers un site contenant l'information.</t>
  </si>
  <si>
    <t>txt_aide</t>
  </si>
  <si>
    <t>Aide à la validation des données :</t>
  </si>
  <si>
    <t>txt_validation</t>
  </si>
  <si>
    <t>UTILISATION DES DONNÉES DE L'OUTIL. VALIDATION NON PERTINENTE.</t>
  </si>
  <si>
    <t xml:space="preserve">Non applicable : La valeur estimée par l'outil OU celle indiquée par l'utilisateur est égale à zéro </t>
  </si>
  <si>
    <t>Nous vous invitons à indiquer et, si possible, documenter cet aspect dans le PGMR</t>
  </si>
  <si>
    <t>txt_pour_info</t>
  </si>
  <si>
    <t>Secteur ICI - Données</t>
  </si>
  <si>
    <t>Secteur de la production de biens</t>
  </si>
  <si>
    <t>   Agriculture</t>
  </si>
  <si>
    <t>   Foresterie, pêche, mines et extraction de pétrole et de gaz</t>
  </si>
  <si>
    <t>   Services publics</t>
  </si>
  <si>
    <t>   Construction</t>
  </si>
  <si>
    <t>Secteur des services</t>
  </si>
  <si>
    <t>   Commerce</t>
  </si>
  <si>
    <t>   Transport et entreposage</t>
  </si>
  <si>
    <t>   Finance, assurances, immobilier et location</t>
  </si>
  <si>
    <t>   Services professionnels, scientifiques et techniques</t>
  </si>
  <si>
    <t>   Services aux entreprises, services relatifs aux bâtiments et autres services de soutien</t>
  </si>
  <si>
    <t>   Services d'enseignement</t>
  </si>
  <si>
    <t>   Soins de santé et assistance sociale</t>
  </si>
  <si>
    <t>   Information, culture et loisirs</t>
  </si>
  <si>
    <t>   Hébergement et restauration</t>
  </si>
  <si>
    <t>   Autres services</t>
  </si>
  <si>
    <t>   Administrations publiques</t>
  </si>
  <si>
    <t>Année de la source</t>
  </si>
  <si>
    <t>Région administrative — TOTAL</t>
  </si>
  <si>
    <t>Papier et Carton</t>
  </si>
  <si>
    <t>Verre</t>
  </si>
  <si>
    <t>Métal</t>
  </si>
  <si>
    <t>Plastique</t>
  </si>
  <si>
    <t>Matières organiques</t>
  </si>
  <si>
    <t>RDD</t>
  </si>
  <si>
    <t>Textiles</t>
  </si>
  <si>
    <t>Nom du champ :</t>
  </si>
  <si>
    <t>Message d'alerte :</t>
  </si>
  <si>
    <t>TAUX D'ÉLIMINATION</t>
  </si>
  <si>
    <t>Catégorie de matières résiduelles</t>
  </si>
  <si>
    <t xml:space="preserve">Secteur SCIAN retenu </t>
  </si>
  <si>
    <t>Taux unitaire</t>
  </si>
  <si>
    <t xml:space="preserve">Industriel </t>
  </si>
  <si>
    <t xml:space="preserve">Commercial </t>
  </si>
  <si>
    <t>Institutionnel</t>
  </si>
  <si>
    <t>Agr</t>
  </si>
  <si>
    <t>For</t>
  </si>
  <si>
    <t>Man</t>
  </si>
  <si>
    <t xml:space="preserve">Publ </t>
  </si>
  <si>
    <t>Trans</t>
  </si>
  <si>
    <t>HR</t>
  </si>
  <si>
    <t>Comm</t>
  </si>
  <si>
    <t>Serv</t>
  </si>
  <si>
    <t>Ens</t>
  </si>
  <si>
    <t>Soin</t>
  </si>
  <si>
    <t xml:space="preserve">Matières recyclables assimilables à la collecte sélective </t>
  </si>
  <si>
    <t>Papier-carton</t>
  </si>
  <si>
    <t>kg/employé/an</t>
  </si>
  <si>
    <t xml:space="preserve">Métal </t>
  </si>
  <si>
    <t xml:space="preserve">Plastique </t>
  </si>
  <si>
    <t xml:space="preserve">Verre </t>
  </si>
  <si>
    <t>Résidus verts</t>
  </si>
  <si>
    <t>Résidus alimentaires</t>
  </si>
  <si>
    <t>Autres résidus organiques</t>
  </si>
  <si>
    <t>TAUX DE RÉCUPÉRATION</t>
  </si>
  <si>
    <t>Secteurs SCIAN</t>
  </si>
  <si>
    <t>Qté totale éliminée</t>
  </si>
  <si>
    <t>AGR</t>
  </si>
  <si>
    <t>FOR</t>
  </si>
  <si>
    <t>PUBL</t>
  </si>
  <si>
    <t>aucun</t>
  </si>
  <si>
    <t>MAN</t>
  </si>
  <si>
    <t>COMM</t>
  </si>
  <si>
    <t>TRANS</t>
  </si>
  <si>
    <t>SERV</t>
  </si>
  <si>
    <t>ENS</t>
  </si>
  <si>
    <t>SOIN</t>
  </si>
  <si>
    <t>Correspondance</t>
  </si>
  <si>
    <t>MRC — TOTAL</t>
  </si>
  <si>
    <t>ICI_emp_RA</t>
  </si>
  <si>
    <t>gen_RA / gen_MRC</t>
  </si>
  <si>
    <t>gen_pop_RA / gen_pop_MRC</t>
  </si>
  <si>
    <t>Récupérées</t>
  </si>
  <si>
    <t>Éliminées</t>
  </si>
  <si>
    <t>2.2</t>
  </si>
  <si>
    <t xml:space="preserve">Y a-t-il des industries de pâtes et papiers sur votre territoire ? </t>
  </si>
  <si>
    <t>Rejets des centres de valorisation</t>
  </si>
  <si>
    <t>Donnée</t>
  </si>
  <si>
    <t>Valeur</t>
  </si>
  <si>
    <t>Taux de rejet moyen des centres de tri du Québec pour la collecte sélective</t>
  </si>
  <si>
    <t>Taux de rejet moyen pour les installations de compostage</t>
  </si>
  <si>
    <t xml:space="preserve">Taux de rejet moyen —Résidentiel </t>
  </si>
  <si>
    <t>Taux de rejet moyen —Petits ICI (boues exclues)</t>
  </si>
  <si>
    <t>ici_utiliser_donnees</t>
  </si>
  <si>
    <t>Résidus spécifiques de transformation industrielle</t>
  </si>
  <si>
    <t>Scories d’aciérie</t>
  </si>
  <si>
    <t>Sables de fonderies</t>
  </si>
  <si>
    <t>Poussières de chaux</t>
  </si>
  <si>
    <t>Poussières de cimenteries</t>
  </si>
  <si>
    <t>Autres résidus chaulant</t>
  </si>
  <si>
    <t>Boues de forage</t>
  </si>
  <si>
    <t>Pierre de taille</t>
  </si>
  <si>
    <t>Autres résidus</t>
  </si>
  <si>
    <t>Nº</t>
  </si>
  <si>
    <t>Compostage</t>
  </si>
  <si>
    <t>Agricole</t>
  </si>
  <si>
    <t>Autre mode</t>
  </si>
  <si>
    <t>Valorisation</t>
  </si>
  <si>
    <t>Localisation</t>
  </si>
  <si>
    <t>Matières recyclables</t>
  </si>
  <si>
    <t>Industriel</t>
  </si>
  <si>
    <t>Agriculture</t>
  </si>
  <si>
    <t>Foresterie, pêche, mines et extraction de pétrole et de gaz</t>
  </si>
  <si>
    <t>Manufacturier</t>
  </si>
  <si>
    <t>Utilités publiques</t>
  </si>
  <si>
    <t>Transport et entreposage</t>
  </si>
  <si>
    <t>Hébergement et services de restauration</t>
  </si>
  <si>
    <t>Commerce de gros et de détail</t>
  </si>
  <si>
    <t>Services et bureaux</t>
  </si>
  <si>
    <t>Services d'enseignement</t>
  </si>
  <si>
    <t>Soins de santé</t>
  </si>
  <si>
    <t>Commercial</t>
  </si>
  <si>
    <t>Récupérés</t>
  </si>
  <si>
    <t>Éliminés</t>
  </si>
  <si>
    <t>Générés</t>
  </si>
  <si>
    <t>2.3</t>
  </si>
  <si>
    <t>ici_donnees_autres</t>
  </si>
  <si>
    <t>Résidus alim.</t>
  </si>
  <si>
    <t>Autres R.O.</t>
  </si>
  <si>
    <t xml:space="preserve">Données pour la Région administrative : </t>
  </si>
  <si>
    <t>Gen/emp.</t>
  </si>
  <si>
    <t>Éliminé / emp.</t>
  </si>
  <si>
    <t>À utiliser dans les résultats</t>
  </si>
  <si>
    <t>valida</t>
  </si>
  <si>
    <t xml:space="preserve"> =SI(crd_utiliser_donnees="";erreur2&amp;'4 - Données CRD'!I7;SI(crd_utiliser_donnees=menu_utilisateur;SI('4 - Données CRD'!AH22="vide";erreur2&amp;'4 - Données CRD'!I7;"");SI('4 - Données CRD'!I22=N.D.;erreur2&amp;'4 - Données CRD'!I7;"")))</t>
  </si>
  <si>
    <t>Industries de transformation agroalimentaire</t>
  </si>
  <si>
    <t>M.O.</t>
  </si>
  <si>
    <t>Données saisies utilisateur</t>
  </si>
  <si>
    <t>ici_donnees_agroalimentaire</t>
  </si>
  <si>
    <t>Donnes saisies par l'utilisateur</t>
  </si>
  <si>
    <t>Données Outil</t>
  </si>
  <si>
    <t>Pour les résultats</t>
  </si>
  <si>
    <t>R. verts</t>
  </si>
  <si>
    <t>R. alim.</t>
  </si>
  <si>
    <t>lienok</t>
  </si>
  <si>
    <t>Calculs des ICI collectées avec municipal</t>
  </si>
  <si>
    <t>Résidus de table</t>
  </si>
  <si>
    <t>Autres matières organiques</t>
  </si>
  <si>
    <t>Nb. Emp. MRC</t>
  </si>
  <si>
    <t>Ind. Transf. Agro.</t>
  </si>
  <si>
    <t>Autres M.O.</t>
  </si>
  <si>
    <t>Nombre d'unités d'occupation (u.o.) par type de logement</t>
  </si>
  <si>
    <t>res_utiliser_recyclables</t>
  </si>
  <si>
    <t>Catégories de matières résiduelles</t>
  </si>
  <si>
    <t>Type de logement</t>
  </si>
  <si>
    <t>M</t>
  </si>
  <si>
    <t>P</t>
  </si>
  <si>
    <t>Matières recyclables assimilables à la collecte sélective</t>
  </si>
  <si>
    <t xml:space="preserve">Matières organiques </t>
  </si>
  <si>
    <t>kg/u.o/an</t>
  </si>
  <si>
    <t>Résidus alimentaires (si aucune collecte)</t>
  </si>
  <si>
    <t>Autres résidus (si aucune collecte)</t>
  </si>
  <si>
    <t>Aucun compostage</t>
  </si>
  <si>
    <t>Résidus verts (si collecte RV)</t>
  </si>
  <si>
    <t>Résidus alimentaires (si collecte RV)</t>
  </si>
  <si>
    <t>Autres résidus (si collecte RV)</t>
  </si>
  <si>
    <t xml:space="preserve">Résidus verts (collecte RV/RA) </t>
  </si>
  <si>
    <t>Résidus alimentaires (collecte RV/RA)</t>
  </si>
  <si>
    <t>Autres résidus (collecte RV/RA)</t>
  </si>
  <si>
    <t xml:space="preserve">Boues municipales </t>
  </si>
  <si>
    <t>Résidus domestiques dangereux</t>
  </si>
  <si>
    <t>Véhicules hors d’usage</t>
  </si>
  <si>
    <t xml:space="preserve">Encombrants </t>
  </si>
  <si>
    <t>Encombrants métalliques</t>
  </si>
  <si>
    <t xml:space="preserve">Encombrants non-métalliques </t>
  </si>
  <si>
    <t>Notes : M = Multilogement; P = Plex; U = Unifamilial</t>
  </si>
  <si>
    <t>Unifamilial</t>
  </si>
  <si>
    <t>Plex</t>
  </si>
  <si>
    <t>Multilogement</t>
  </si>
  <si>
    <t>Multi</t>
  </si>
  <si>
    <t>Nb personnes par type de U.O.</t>
  </si>
  <si>
    <t>Calculé ou densité informée?</t>
  </si>
  <si>
    <t>Retranscrire le nombre d’employés de la région administrative</t>
  </si>
  <si>
    <t>Commerces, institutions et autres industries</t>
  </si>
  <si>
    <t>Calculés par l'outil</t>
  </si>
  <si>
    <t>MATIÈRES ORGANIQUES</t>
  </si>
  <si>
    <t>ÉTAPE DE PRÉCISION OPTIONNELLE</t>
  </si>
  <si>
    <t>Emplois pour la région administrative</t>
  </si>
  <si>
    <t xml:space="preserve">Matières organiques des unités résidentielles </t>
  </si>
  <si>
    <t>Boues municipales</t>
  </si>
  <si>
    <t>Véhicules hors d'usage (VHU)</t>
  </si>
  <si>
    <t>Autres matières résiduelles</t>
  </si>
  <si>
    <t>Menu déroulant Collecte municipale M.O.</t>
  </si>
  <si>
    <t>Collecte des résidus verts (RV)</t>
  </si>
  <si>
    <t>Aucune</t>
  </si>
  <si>
    <t xml:space="preserve">Programme de réduction à la source : </t>
  </si>
  <si>
    <t>Compostage domestique</t>
  </si>
  <si>
    <t>Herbicyclage (oui/non)</t>
  </si>
  <si>
    <t>Collecte des résidus verts et alimentaires (RV/RA)</t>
  </si>
  <si>
    <t>Taux de récupération - Herbicyclage</t>
  </si>
  <si>
    <t>Sensibilisation</t>
  </si>
  <si>
    <t>Sensib. + interd. gazon collectes résidus verts</t>
  </si>
  <si>
    <t>Sensib. + interd. gazon collectes déchets</t>
  </si>
  <si>
    <t>Taux de récupération - Composteur domestique</t>
  </si>
  <si>
    <t>kg / unité</t>
  </si>
  <si>
    <t xml:space="preserve">Boues municipales de stations d'épuration mécanisées (BSM) </t>
  </si>
  <si>
    <t xml:space="preserve">Boues municipales d'étangs aérés (BEA) </t>
  </si>
  <si>
    <t xml:space="preserve">Boues de fosses septiques (BFS) </t>
  </si>
  <si>
    <t>Destination 
des boues</t>
  </si>
  <si>
    <t>Estimation globale de boues municipales selon la population</t>
  </si>
  <si>
    <t>Quantités de boues municipales</t>
  </si>
  <si>
    <t>res_pers_multi / res_UO_multi</t>
  </si>
  <si>
    <t>res_pers_plex / res_UO_plex</t>
  </si>
  <si>
    <t>res_pers_uni / res_UO_uni</t>
  </si>
  <si>
    <t>Véhicules hors d'usage</t>
  </si>
  <si>
    <t>res_utiliser_VHU</t>
  </si>
  <si>
    <t>res_utiliser_textile</t>
  </si>
  <si>
    <t>Encombrants</t>
  </si>
  <si>
    <t>Métalliques</t>
  </si>
  <si>
    <t>Non-métalliques</t>
  </si>
  <si>
    <t>res_utiliser_autres</t>
  </si>
  <si>
    <t>-----</t>
  </si>
  <si>
    <t>Résidus domestiques dangereux (RDD)</t>
  </si>
  <si>
    <t>TOTALITÉ DES RÉSIDUS DU SECTEUR RÉSIDENTIEL</t>
  </si>
  <si>
    <t>TOTAL (sans boues)</t>
  </si>
  <si>
    <t>TOTAL estimé par l'outil (sans boues)</t>
  </si>
  <si>
    <t>Siccité des boues</t>
  </si>
  <si>
    <t>Nb U.O. ajusté avec saisoniers</t>
  </si>
  <si>
    <t>(Chalets et villégiature/2)</t>
  </si>
  <si>
    <t>Données générales</t>
  </si>
  <si>
    <t>Rejets Centre M.O.</t>
  </si>
  <si>
    <t>R.vert</t>
  </si>
  <si>
    <t>R.alim</t>
  </si>
  <si>
    <t>Quantité à</t>
  </si>
  <si>
    <t>Total éliminé</t>
  </si>
  <si>
    <t>Total récupéré</t>
  </si>
  <si>
    <t>Y a-t-il des fosses septiques dont les boues ont été acheminées à des stations de traitement autres que celles indiquées ci-dessus?</t>
  </si>
  <si>
    <t>Total des boues municipales</t>
  </si>
  <si>
    <t xml:space="preserve">Centre de tri </t>
  </si>
  <si>
    <t>TOTAL boues</t>
  </si>
  <si>
    <t xml:space="preserve">TOTAL boues estimé par l'outil </t>
  </si>
  <si>
    <t>Cases rouges :</t>
  </si>
  <si>
    <t>Erreur dans le calcul des résultats.</t>
  </si>
  <si>
    <t>Rejets collecte selective</t>
  </si>
  <si>
    <t xml:space="preserve">Rejets collecte M.O. </t>
  </si>
  <si>
    <t>RDD+encombr.</t>
  </si>
  <si>
    <t>Taux rejets M.O.</t>
  </si>
  <si>
    <t>% éliminé</t>
  </si>
  <si>
    <t>Qté générée (t)</t>
  </si>
  <si>
    <t>M.O. transf agro</t>
  </si>
  <si>
    <t>M.O. commerce</t>
  </si>
  <si>
    <t>Résidus ultimes</t>
  </si>
  <si>
    <t>RÉSIDUS ULTIMES (Données de l'outil)</t>
  </si>
  <si>
    <t>Centre de valorisation des M.O.</t>
  </si>
  <si>
    <t>Récupéré (t)</t>
  </si>
  <si>
    <t>Éliminé (t)</t>
  </si>
  <si>
    <t>Généré (t)</t>
  </si>
  <si>
    <t>Nb. d'employés (k emp.)</t>
  </si>
  <si>
    <t>Fibres (t)</t>
  </si>
  <si>
    <t>Plastique (t)</t>
  </si>
  <si>
    <t>Métal (t)</t>
  </si>
  <si>
    <t>Verre (t)</t>
  </si>
  <si>
    <t>Résidus verts (t)</t>
  </si>
  <si>
    <t>Résidus alim. (t)</t>
  </si>
  <si>
    <t>Autres R.O. (t)</t>
  </si>
  <si>
    <t>Taux de siccité des boues (%)</t>
  </si>
  <si>
    <t xml:space="preserve">Population (hab.) : </t>
  </si>
  <si>
    <t>Population (hab.) :</t>
  </si>
  <si>
    <t>Éliminés avec</t>
  </si>
  <si>
    <t>Récupéré avec</t>
  </si>
  <si>
    <t>Secteur non connu</t>
  </si>
  <si>
    <t>Version de l'outil</t>
  </si>
  <si>
    <t xml:space="preserve">Éliminé (t) - collecte des ordures </t>
  </si>
  <si>
    <t>MESSAGES D'INTÉRÊT GÉNÉRAL</t>
  </si>
  <si>
    <t>ventil1</t>
  </si>
  <si>
    <t>ventil2</t>
  </si>
  <si>
    <t xml:space="preserve">Si vous possédez des données globales, non ventilées par matières, veuillez vous référer au Guide à la section </t>
  </si>
  <si>
    <t xml:space="preserve">Écart de validation : </t>
  </si>
  <si>
    <t>Écart de validation recommandé</t>
  </si>
  <si>
    <t>facteur application petit ICI</t>
  </si>
  <si>
    <t>Nb. employés (emp.)</t>
  </si>
  <si>
    <t>Nb. Employés (emp.)</t>
  </si>
  <si>
    <t>   Fabrication (manufacturier)</t>
  </si>
  <si>
    <t xml:space="preserve">Plex (entre 2 et 9 logements) : </t>
  </si>
  <si>
    <t>- Outil réalisé par Chamard et Associés inc. -</t>
  </si>
  <si>
    <t>Nombre de fosses septiques concernées ?</t>
  </si>
  <si>
    <t>2.1.1</t>
  </si>
  <si>
    <r>
      <t xml:space="preserve">Total </t>
    </r>
    <r>
      <rPr>
        <b/>
        <sz val="12"/>
        <color indexed="8"/>
        <rFont val="Calibri"/>
        <family val="2"/>
      </rPr>
      <t>valorisé</t>
    </r>
  </si>
  <si>
    <t>Rejets des recycleurs des métaux (encombrants)</t>
  </si>
  <si>
    <t>Rejets des recycleurs des véhicules hors d’usage (fluff)</t>
  </si>
  <si>
    <t>Total éliminé - Outil</t>
  </si>
  <si>
    <t>TOTALITÉ DES RÉSIDUS DU SECTEUR ICI</t>
  </si>
  <si>
    <t>Total éliminé  - Outil</t>
  </si>
  <si>
    <t>Ecart</t>
  </si>
  <si>
    <t>Programme de collecte municipale des matières organiques :</t>
  </si>
  <si>
    <t>Généré suggéré (t)</t>
  </si>
  <si>
    <t>Ajustés par l'outil</t>
  </si>
  <si>
    <t>Taux</t>
  </si>
  <si>
    <t>herbicyclage</t>
  </si>
  <si>
    <t>(Herbicyclage et composteur domestique)</t>
  </si>
  <si>
    <t>Rejets de la collecte des M.O. des ICI</t>
  </si>
  <si>
    <t>Rejets du tri des matières recyclables des ICI</t>
  </si>
  <si>
    <t>Rejets de la collecte des M.O. résidentielles</t>
  </si>
  <si>
    <t>Utilisateur</t>
  </si>
  <si>
    <t>Resultats</t>
  </si>
  <si>
    <t>Calculés</t>
  </si>
  <si>
    <t>Messages alerte :</t>
  </si>
  <si>
    <t>Ajustements</t>
  </si>
  <si>
    <t>Ajustés par l'outil - Taux rejets M.O.</t>
  </si>
  <si>
    <t>3.4</t>
  </si>
  <si>
    <t>Aide à la validation des données de génération :</t>
  </si>
  <si>
    <t>Alerte ss fond</t>
  </si>
  <si>
    <t>Cases orange :</t>
  </si>
  <si>
    <t xml:space="preserve">Les données fournies par l'outil sont basées sur des moyennes québécoises. Il est donc normal qu'il y ait un écart entre vos données (si vous en avez saisi) et celles suggérées. L'écart de validation considéré comme acceptable est de </t>
  </si>
  <si>
    <t>La collecte sélective municipale est offerte aux petits ICI assimilables ?</t>
  </si>
  <si>
    <t>Récupéré (t) - collecte sélective</t>
  </si>
  <si>
    <t>Rejets de la collecte sélective résidentielle</t>
  </si>
  <si>
    <t>Il y a eu abattage d’arbres en raison d’une problématique liée à certaines maladies ou parasites?</t>
  </si>
  <si>
    <t>Rejets des centres de tri des matières recyclables et des centres de valorisation des matières organiques (M.O.)</t>
  </si>
  <si>
    <t>Pour calculer les rejets des centres de tri et de valorisation, souhaitez-vous utiliser les taux de rejets et laisser l'outil calculer les tonnages ou inscrire vos données de tonnages?</t>
  </si>
  <si>
    <t>Rejets des centres de valorisation des M.O.</t>
  </si>
  <si>
    <t xml:space="preserve">Rejets des centres de tri </t>
  </si>
  <si>
    <t>Encombrants non-métalliques</t>
  </si>
  <si>
    <t>Papier et carton</t>
  </si>
  <si>
    <t>Rejets des centres de tri des matières recyclables et des centres de valorisation de la matière organique (M.O.)</t>
  </si>
  <si>
    <t>Rejets des recycleurs de métaux (encombrants et véhicules hors usage)</t>
  </si>
  <si>
    <t>t matière sèche par t charge total entrant</t>
  </si>
  <si>
    <t>Résidus verts (si aucune collecte)</t>
  </si>
  <si>
    <t>ICI collectées via collecte résidentielle municipale</t>
  </si>
  <si>
    <t xml:space="preserve">Bardeaux d'asphalte </t>
  </si>
  <si>
    <t xml:space="preserve">Les données ci-dessous ne peuvent pas être complétées. Vérifiez la réponse à la question </t>
  </si>
  <si>
    <t>Combien d'unités présentes sur le territoire ?</t>
  </si>
  <si>
    <t>Réglementation interdisant le gazon dans la collecte des ordures ménagères ?</t>
  </si>
  <si>
    <t>Quelles données souhaitez-vous utiliser dans les résultats ?</t>
  </si>
  <si>
    <t xml:space="preserve">Non disponible : vérifiez les données à la question </t>
  </si>
  <si>
    <t>Veuillez traiter les messages d'erreur ci-dessus</t>
  </si>
  <si>
    <t>Afin de traiter et additionner les données des stations de traitement de façon uniforme en plus de pouvoir les comparer à celles de l’outil, les quantités de boues saisies par l’utilisateur sont ramenées à un taux de siccité commun de 20 %.</t>
  </si>
  <si>
    <t>Indiquez la composition des "Autres résidus"</t>
  </si>
  <si>
    <t>% recyclé</t>
  </si>
  <si>
    <t>Ventilation proposée</t>
  </si>
  <si>
    <t>Valeurs proposées</t>
  </si>
  <si>
    <t>Données non ventilées</t>
  </si>
  <si>
    <t>Part des ICI</t>
  </si>
  <si>
    <t>Part des RDD et encombrants</t>
  </si>
  <si>
    <t xml:space="preserve"> qui vous expliquera comment effectuer cette ventilation.</t>
  </si>
  <si>
    <t>Part des textiles</t>
  </si>
  <si>
    <t>Quantité globale d'ordures</t>
  </si>
  <si>
    <t>Petits ICI</t>
  </si>
  <si>
    <t>Données globales non ventilées</t>
  </si>
  <si>
    <t>Part des matières recyclables</t>
  </si>
  <si>
    <t>Données globales non ventilées - collecte des ordures</t>
  </si>
  <si>
    <t>Réglementation interdisant le gazon dans la collecte de matières organiques ?</t>
  </si>
  <si>
    <t>Y a-t-il des effluents de l’extérieur du territoire ou 
y a-t-il des boues autres que municipales ?</t>
  </si>
  <si>
    <t>Taux de recyclage ?</t>
  </si>
  <si>
    <t>Valorisation énergétique</t>
  </si>
  <si>
    <t>Autres résidus marins</t>
  </si>
  <si>
    <t>(a)</t>
  </si>
  <si>
    <t>(b)</t>
  </si>
  <si>
    <t>(c)</t>
  </si>
  <si>
    <t>Composition des résidus organiques de la 3e voie (collecte combinée RV&amp;RA)</t>
  </si>
  <si>
    <t>Tonnage total de la 3e voie</t>
  </si>
  <si>
    <t xml:space="preserve">Données globales non ventilées - collecte combinée des résidus verts et alimentaires de la 3e voie </t>
  </si>
  <si>
    <t>Enfouies</t>
  </si>
  <si>
    <t>Branches et sapins de Noël</t>
  </si>
  <si>
    <t>(à partir des non-ajustées)</t>
  </si>
  <si>
    <t>Messages d'alerte herbicyclage :</t>
  </si>
  <si>
    <t>Taille moyenne suggérée :</t>
  </si>
  <si>
    <t>Boues de papetières</t>
  </si>
  <si>
    <t xml:space="preserve">Valeur des permis de bâtir (k$) : </t>
  </si>
  <si>
    <t>Taille moyenne des ménages par type de logement (pers./u.o.)</t>
  </si>
  <si>
    <t>Chalets, maisons de villégiature :</t>
  </si>
  <si>
    <t>pers./u.o.</t>
  </si>
  <si>
    <t>kg/pers./an</t>
  </si>
  <si>
    <t>kg/u.o./an</t>
  </si>
  <si>
    <t>kgmh/pers./an</t>
  </si>
  <si>
    <t>Taux de génération MO (kg/u.o./an)</t>
  </si>
  <si>
    <t>tmh (à 3,5%) par fosse septique</t>
  </si>
  <si>
    <t xml:space="preserve">Textiles d’origine résidentielle </t>
  </si>
  <si>
    <t>Taux d'élimination 
(kg/pers./an)</t>
  </si>
  <si>
    <t>Taux de récupération (kg/pers./an)</t>
  </si>
  <si>
    <t>Taille moyenne des ménages par type de logement</t>
  </si>
  <si>
    <t xml:space="preserve">Ventilation proposée </t>
  </si>
  <si>
    <t>Si disponible, inscrire la quantité de résidus de balayures de rues éliminée (t) :</t>
  </si>
  <si>
    <t>Retranscrire uniquement les informations relatives aux boues mélangées et de désencrage</t>
  </si>
  <si>
    <t>Quantités de boues mélangées et de désencrage (tonnes/an)</t>
  </si>
  <si>
    <t>Présence d'étangs aérés vidangés durant l'année de référence ?</t>
  </si>
  <si>
    <t xml:space="preserve">Unifamilial rural </t>
  </si>
  <si>
    <t>Unifamilial urbain</t>
  </si>
  <si>
    <r>
      <t>U</t>
    </r>
    <r>
      <rPr>
        <b/>
        <vertAlign val="subscript"/>
        <sz val="10"/>
        <color indexed="56"/>
        <rFont val="Calibri"/>
        <family val="2"/>
        <scheme val="minor"/>
      </rPr>
      <t>urbain</t>
    </r>
  </si>
  <si>
    <r>
      <t>U</t>
    </r>
    <r>
      <rPr>
        <b/>
        <vertAlign val="subscript"/>
        <sz val="10"/>
        <color indexed="56"/>
        <rFont val="Calibri"/>
        <family val="2"/>
        <scheme val="minor"/>
      </rPr>
      <t>rural</t>
    </r>
  </si>
  <si>
    <t>Unifamilial urbain :</t>
  </si>
  <si>
    <t xml:space="preserve">Unifamilial rural: </t>
  </si>
  <si>
    <t>Unifamilial rural :</t>
  </si>
  <si>
    <t>1.1.5</t>
  </si>
  <si>
    <t>1.2.4</t>
  </si>
  <si>
    <t>Unifamilial R</t>
  </si>
  <si>
    <t>Unifamilial U</t>
  </si>
  <si>
    <t>Unifamilial rural</t>
  </si>
  <si>
    <t>Uni r</t>
  </si>
  <si>
    <t>Uni u</t>
  </si>
  <si>
    <t xml:space="preserve">Pour toute question quant au fonctionnement de l'outil : </t>
  </si>
  <si>
    <t>pgmr@recyc-quebec.gouv.qc.ca</t>
  </si>
  <si>
    <t>Eeyou Istchee</t>
  </si>
  <si>
    <t>(d)</t>
  </si>
  <si>
    <r>
      <t xml:space="preserve">L'outil estime les données par type de matières en ne tenant compte que des unités résidentielles. Aucune quantité provenant de petits ICI assimilables n'est donc incluse. </t>
    </r>
    <r>
      <rPr>
        <b/>
        <sz val="10"/>
        <color rgb="FF006411"/>
        <rFont val="Calibri"/>
        <family val="2"/>
        <scheme val="minor"/>
      </rPr>
      <t>Pour cette raison, l'utilisateur doit ajuster ses propres données afin de permettre une comparaison avec les résultats de l'outil.</t>
    </r>
  </si>
  <si>
    <t>Tonnages avec ICI</t>
  </si>
  <si>
    <t>Tonnages estimés sans ICI</t>
  </si>
  <si>
    <t>• Si vos données incluent des matières provenant d'ICI et si vous ne savez pas quelle est la part qui leur est attribuable, saisissez vos données dans la section de droite en (a), puis vous obtiendrez des tonnages estimés sans ICI en (b).
• Si vous possédez des données globales non ventilées par type de matières, saisissez-les dans la section de droite en (c), puis reportez à 2.2.4. les données ventilées obtenues en (d).</t>
  </si>
  <si>
    <t>Si vous souhaitez utiliser vos données dans les résultats ou les comparer à celles suggérées par l'outil :</t>
  </si>
  <si>
    <t xml:space="preserve">Si vous avez des données relatives à une collecte combinée de résidus verts et de résidus alimentaires, non ventilées par type de matières, saisissez-les dans la section de droite en (a), puis vous obtiendrez des tonnages estimés ventilés en (b), que vous pourrez reporter à 2.3.1.   </t>
  </si>
  <si>
    <t>Présence de stations d'épuration mécanisées ?</t>
  </si>
  <si>
    <t>Quantité de boues générées (t mh)</t>
  </si>
  <si>
    <t>Nom de la station de traitement</t>
  </si>
  <si>
    <t>Numérotation des stations</t>
  </si>
  <si>
    <t>Numérotation des étangs</t>
  </si>
  <si>
    <t>Si vous n'avez pas de donnée sur les quantités de textiles, vous pouvez saisir, dans la section de droite en (a), la quantité globale de matières issues de la collecte d’ordures, puis vous obtiendrez un tonnage estimé de textiles éliminés en (b). Ce tonnage pourra être comparé à celui de textiles éliminés suggéré par l’outil à 2.6.2.</t>
  </si>
  <si>
    <t>Si vous n'avez pas de donnée sur les quantités récupérées ou éliminées, vous pouvez saisir, dans la section de droite en (a), la quantité globale de matières issues de la collecte d’ordures, puis vous obtiendrez des tonnages éliminés ventilés en (b). Ces tonnages pourront être comparés à ceux suggérés à 2.7.2.2.</t>
  </si>
  <si>
    <t>Résidus domestiques dangereux (RDD) et encombrants</t>
  </si>
  <si>
    <t xml:space="preserve">Rappel : Les VHU font partie des matières dont la mise à jour est facultative pour les fins de l'inventaire. </t>
  </si>
  <si>
    <t xml:space="preserve">Rappel : Les textiles font partie des matières dont la mise à jour est facultative pour les fins de l'inventaire. </t>
  </si>
  <si>
    <t xml:space="preserve">À 3.1.1., les données sont exprimées en milliers d'employés (k emp.).
Assurez-vous de les avoir inscrites correctement, puisque celles-ci auront une incidence importante sur les résultats de l'outil. </t>
  </si>
  <si>
    <r>
      <t xml:space="preserve">Notez que les valeurs réelles sont toujours à privilégier, puisque l’estimation des quantités par l’outil comprend une marge d’erreur appréciable. En effet, les données suggérées par l’outil sont basées sur des moyennes provinciales qui ne reflètent pas avec exactitude le contexte régional de chaque territoire. L’outil estime donc des quantités qui doivent être considérées comme des </t>
    </r>
    <r>
      <rPr>
        <b/>
        <sz val="11"/>
        <color theme="1"/>
        <rFont val="Calibri"/>
        <family val="2"/>
        <scheme val="minor"/>
      </rPr>
      <t>ordres de grandeur</t>
    </r>
    <r>
      <rPr>
        <sz val="11"/>
        <color theme="1"/>
        <rFont val="Calibri"/>
        <family val="2"/>
        <scheme val="minor"/>
      </rPr>
      <t xml:space="preserve"> et il est normal que vos données diffèrent des résultats calculés par cet outil. 
Si vous possédez des données partielles, vous pouvez vous inspirer des données suggérées par l'outil pour les compléter.</t>
    </r>
  </si>
  <si>
    <t xml:space="preserve">Nom de la MRC : </t>
  </si>
  <si>
    <t>Quantité de boues vidangées
(t mh)</t>
  </si>
  <si>
    <t xml:space="preserve">Précisez également les informations relatives aux autres vidanges (antérieures ou prévues) dans le PGMR. </t>
  </si>
  <si>
    <t>Veuillez noter que les cendres d'incinérateur et les mâchefers sont exclus des calculs. 
Si vous possédez des données de tonnage sur ces matières, nous vous invitons à les inclure dans votre PGMR.</t>
  </si>
  <si>
    <t xml:space="preserve">Inscrire dans le tableau ci-dessous les quantités récupérées et éliminées (en TONNES) pour les catégories de résidus pour lesquelles des données sont disponibles. </t>
  </si>
  <si>
    <t>Si vous avez recueilli les données relatives aux quantités réelles de BEA vidangées durant l'année de référence, entrez-les ici, en débutant par la colonne Nom de la station de traitement.</t>
  </si>
  <si>
    <t>Si vous avez recueilli les données relatives aux quantités réelles de BSM générées durant l'année de référence, entrez-les ici, en débutant par la colonne Nom de la station de traitement.</t>
  </si>
  <si>
    <t>Désirez-vous compléter cette étape et utiliser les données propres à la MRC ?</t>
  </si>
  <si>
    <t>Si vous utilisez les tableaux « Données saisies par l'utilisateur » de cet onglet, vous pouvez utiliser la ligne « Secteur non connu » pour inscrire des données que vous ne pouvez pas associer à un ou des secteurs SCIAN prédéfinis de l'outil ou pour inscrire des données globales. 
De plus, dans ces tableaux, il faut écrire « 0 » si vous n'avez pas de donnée pour un secteur afin d'éviter la génération d’un message d’erreur dans les résultats.</t>
  </si>
  <si>
    <t xml:space="preserve">Rejets de centres de tri de CRD </t>
  </si>
  <si>
    <t xml:space="preserve">Si vous souhaitez utiliser vos propres données dans les résultats, entrez celles-ci aux questions 2.4.1. à 2.4.3., puis sélectionnez "Mes données" à 2.4.4.1. </t>
  </si>
  <si>
    <t>Rejets de centres de tri CRD</t>
  </si>
  <si>
    <t>Bois</t>
  </si>
  <si>
    <t>Mise à jour des paramètres CRD en avril 2022</t>
  </si>
  <si>
    <t>Usages en lieu d'enfouissement (t)</t>
  </si>
  <si>
    <t>Usages en lieu d'enfouissement</t>
  </si>
  <si>
    <t>Rejets de centres de tri CRD utilisés en lieu d'élimination</t>
  </si>
  <si>
    <t>Rejets de centres de tri CRD directement éliminés</t>
  </si>
  <si>
    <t xml:space="preserve">Taux unitaire de récupération </t>
  </si>
  <si>
    <t xml:space="preserve">Taux unitaire d'élimination </t>
  </si>
  <si>
    <t>Taux unitaire d'usage en lieu d'élimination</t>
  </si>
  <si>
    <t>Il n'y a plus de calculs pour ajouter aux ICI; les valeurs ont été changées pour zéro.</t>
  </si>
  <si>
    <t>Population de la région</t>
  </si>
  <si>
    <t>Population de la MRC</t>
  </si>
  <si>
    <t>Nb d'employés de la région</t>
  </si>
  <si>
    <t xml:space="preserve">Ratio  </t>
  </si>
  <si>
    <t>Employés de la MRC selon le prorata de la population de la MRC par rapport à celle de la région</t>
  </si>
  <si>
    <t>Pour plus d'informations, consultez la page Web de RECYC-QUÉBEC sur les PGMR.</t>
  </si>
  <si>
    <t>- Révisé par RECYC-QUÉBEC, avril 2022 -</t>
  </si>
  <si>
    <t>Multilogement (10 logements et plus) et condos :</t>
  </si>
  <si>
    <t>1.1.1</t>
  </si>
  <si>
    <t>Désirez-vous utiliser les données propres à la MRC, plutôt que le prorata sur la population, pour les nombres d'employés?</t>
  </si>
  <si>
    <r>
      <t xml:space="preserve">Il est essentiel d'écrire des nombres en « </t>
    </r>
    <r>
      <rPr>
        <b/>
        <i/>
        <sz val="10.5"/>
        <color theme="1"/>
        <rFont val="Calibri"/>
        <family val="2"/>
        <scheme val="minor"/>
      </rPr>
      <t>k emp</t>
    </r>
    <r>
      <rPr>
        <i/>
        <sz val="10.5"/>
        <color theme="1"/>
        <rFont val="Calibri"/>
        <family val="2"/>
        <scheme val="minor"/>
      </rPr>
      <t xml:space="preserve"> ». 
Si vous utilisez le lien plus haut, divisez les nombres par 1000 pour les convertir.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</si>
</sst>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0&quot; t&quot;"/>
    <numFmt numFmtId="165" formatCode="#,##0&quot; k$&quot;"/>
    <numFmt numFmtId="166" formatCode="#,##0&quot; t&quot;"/>
    <numFmt numFmtId="167" formatCode="0.0%"/>
    <numFmt numFmtId="168" formatCode="#,##0&quot; hab.&quot;"/>
    <numFmt numFmtId="169" formatCode="#,##0.0&quot; t&quot;"/>
    <numFmt numFmtId="170" formatCode="#,##0.0&quot; k emp.&quot;"/>
    <numFmt numFmtId="171" formatCode="0.0"/>
    <numFmt numFmtId="172" formatCode="#,##0&quot; u.o.&quot;"/>
    <numFmt numFmtId="173" formatCode="#,##0&quot; t mh&quot;"/>
    <numFmt numFmtId="174" formatCode="#,##0.00&quot; pers/u.o.&quot;"/>
    <numFmt numFmtId="175" formatCode="#,##0.0&quot; t mh&quot;"/>
    <numFmt numFmtId="176" formatCode="#,##0.0&quot; emp.&quot;"/>
    <numFmt numFmtId="177" formatCode="#,##0&quot; emp.&quot;"/>
    <numFmt numFmtId="178" formatCode="0.0000"/>
  </numFmts>
  <fonts count="120" x14ac:knownFonts="1">
    <font>
      <sz val="11"/>
      <color theme="1"/>
      <name val="Calibri"/>
      <family val="2"/>
      <scheme val="minor"/>
    </font>
    <font>
      <sz val="11"/>
      <color indexed="8"/>
      <name val="Calibri"/>
      <family val="2"/>
    </font>
    <font>
      <sz val="8"/>
      <color indexed="8"/>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sz val="11"/>
      <color indexed="8"/>
      <name val="Calibri"/>
      <family val="2"/>
    </font>
    <font>
      <b/>
      <sz val="12"/>
      <color indexed="8"/>
      <name val="Calibri"/>
      <family val="2"/>
    </font>
    <font>
      <i/>
      <sz val="11"/>
      <color indexed="8"/>
      <name val="Calibri"/>
      <family val="2"/>
    </font>
    <font>
      <sz val="18"/>
      <color indexed="9"/>
      <name val="Calibri"/>
      <family val="2"/>
    </font>
    <font>
      <b/>
      <sz val="12"/>
      <color indexed="36"/>
      <name val="Calibri"/>
      <family val="2"/>
    </font>
    <font>
      <sz val="40"/>
      <color indexed="19"/>
      <name val="Calibri"/>
      <family val="2"/>
    </font>
    <font>
      <i/>
      <sz val="11"/>
      <color indexed="36"/>
      <name val="Calibri"/>
      <family val="2"/>
    </font>
    <font>
      <b/>
      <sz val="11"/>
      <color indexed="36"/>
      <name val="Calibri"/>
      <family val="2"/>
    </font>
    <font>
      <sz val="9"/>
      <color indexed="81"/>
      <name val="Tahoma"/>
      <family val="2"/>
    </font>
    <font>
      <b/>
      <sz val="9"/>
      <color indexed="81"/>
      <name val="Tahoma"/>
      <family val="2"/>
    </font>
    <font>
      <sz val="16"/>
      <color indexed="8"/>
      <name val="Calibri"/>
      <family val="2"/>
    </font>
    <font>
      <b/>
      <sz val="14"/>
      <color indexed="8"/>
      <name val="Calibri"/>
      <family val="2"/>
    </font>
    <font>
      <b/>
      <sz val="8"/>
      <color indexed="9"/>
      <name val="Calibri"/>
      <family val="2"/>
    </font>
    <font>
      <i/>
      <sz val="11"/>
      <color indexed="10"/>
      <name val="Calibri"/>
      <family val="2"/>
    </font>
    <font>
      <b/>
      <sz val="14"/>
      <color indexed="8"/>
      <name val="Calibri"/>
      <family val="2"/>
    </font>
    <font>
      <b/>
      <sz val="12"/>
      <name val="Calibri"/>
      <family val="2"/>
    </font>
    <font>
      <sz val="10"/>
      <color indexed="8"/>
      <name val="Calibri"/>
      <family val="2"/>
    </font>
    <font>
      <sz val="14"/>
      <color indexed="9"/>
      <name val="Calibri"/>
      <family val="2"/>
    </font>
    <font>
      <b/>
      <sz val="11"/>
      <name val="Calibri"/>
      <family val="2"/>
    </font>
    <font>
      <sz val="8"/>
      <name val="Calibri"/>
      <family val="2"/>
    </font>
    <font>
      <sz val="11"/>
      <name val="Calibri"/>
      <family val="2"/>
    </font>
    <font>
      <sz val="12"/>
      <color indexed="8"/>
      <name val="Calibri"/>
      <family val="2"/>
    </font>
    <font>
      <sz val="11"/>
      <color indexed="8"/>
      <name val="Calibri"/>
      <family val="2"/>
    </font>
    <font>
      <sz val="11"/>
      <color indexed="9"/>
      <name val="Calibri"/>
      <family val="2"/>
    </font>
    <font>
      <sz val="18"/>
      <color indexed="9"/>
      <name val="Calibri"/>
      <family val="2"/>
    </font>
    <font>
      <sz val="11"/>
      <color indexed="10"/>
      <name val="Calibri"/>
      <family val="2"/>
    </font>
    <font>
      <b/>
      <sz val="12"/>
      <color indexed="9"/>
      <name val="Calibri"/>
      <family val="2"/>
    </font>
    <font>
      <i/>
      <u/>
      <sz val="11"/>
      <color indexed="8"/>
      <name val="Calibri"/>
      <family val="2"/>
    </font>
    <font>
      <b/>
      <sz val="12"/>
      <color indexed="8"/>
      <name val="Calibri"/>
      <family val="2"/>
    </font>
    <font>
      <b/>
      <sz val="12"/>
      <color indexed="36"/>
      <name val="Calibri"/>
      <family val="2"/>
    </font>
    <font>
      <b/>
      <sz val="11"/>
      <color indexed="36"/>
      <name val="Calibri"/>
      <family val="2"/>
    </font>
    <font>
      <b/>
      <sz val="11"/>
      <color indexed="9"/>
      <name val="Calibri"/>
      <family val="2"/>
    </font>
    <font>
      <b/>
      <i/>
      <sz val="11"/>
      <color indexed="8"/>
      <name val="Calibri"/>
      <family val="2"/>
    </font>
    <font>
      <b/>
      <sz val="11"/>
      <color indexed="17"/>
      <name val="Calibri"/>
      <family val="2"/>
    </font>
    <font>
      <sz val="11"/>
      <color indexed="8"/>
      <name val="Calibri"/>
      <family val="2"/>
    </font>
    <font>
      <sz val="10"/>
      <name val="Arial"/>
      <family val="2"/>
    </font>
    <font>
      <b/>
      <sz val="16"/>
      <color indexed="57"/>
      <name val="Calibri"/>
      <family val="2"/>
    </font>
    <font>
      <u/>
      <sz val="9"/>
      <color indexed="81"/>
      <name val="Tahoma"/>
      <family val="2"/>
    </font>
    <font>
      <sz val="11"/>
      <color indexed="63"/>
      <name val="Calibri"/>
      <family val="2"/>
    </font>
    <font>
      <b/>
      <sz val="12"/>
      <color indexed="12"/>
      <name val="Calibri"/>
      <family val="2"/>
    </font>
    <font>
      <b/>
      <sz val="16"/>
      <color indexed="39"/>
      <name val="Calibri"/>
      <family val="2"/>
    </font>
    <font>
      <strike/>
      <sz val="11"/>
      <color indexed="8"/>
      <name val="Calibri"/>
      <family val="2"/>
    </font>
    <font>
      <sz val="12"/>
      <color indexed="9"/>
      <name val="Calibri"/>
      <family val="2"/>
    </font>
    <font>
      <sz val="11"/>
      <color theme="1"/>
      <name val="Calibri"/>
      <family val="2"/>
      <scheme val="minor"/>
    </font>
    <font>
      <b/>
      <sz val="10"/>
      <color theme="0"/>
      <name val="Calibri"/>
      <family val="2"/>
      <scheme val="minor"/>
    </font>
    <font>
      <sz val="18"/>
      <color theme="0"/>
      <name val="Calibri"/>
      <family val="2"/>
      <scheme val="minor"/>
    </font>
    <font>
      <sz val="16"/>
      <color theme="1"/>
      <name val="Calibri"/>
      <family val="2"/>
      <scheme val="minor"/>
    </font>
    <font>
      <b/>
      <sz val="12"/>
      <color theme="0"/>
      <name val="Calibri"/>
      <family val="2"/>
      <scheme val="minor"/>
    </font>
    <font>
      <sz val="11"/>
      <color indexed="20"/>
      <name val="Calibri"/>
      <family val="2"/>
      <scheme val="minor"/>
    </font>
    <font>
      <u/>
      <sz val="11"/>
      <color theme="0"/>
      <name val="Calibri"/>
      <family val="2"/>
      <scheme val="minor"/>
    </font>
    <font>
      <u/>
      <sz val="11"/>
      <color indexed="12"/>
      <name val="Calibri"/>
      <family val="2"/>
      <scheme val="minor"/>
    </font>
    <font>
      <sz val="9"/>
      <color theme="4" tint="-0.24994659260841701"/>
      <name val="Calibri"/>
      <family val="2"/>
      <scheme val="minor"/>
    </font>
    <font>
      <b/>
      <sz val="11"/>
      <color indexed="30"/>
      <name val="Calibri"/>
      <family val="2"/>
      <scheme val="minor"/>
    </font>
    <font>
      <sz val="11"/>
      <color theme="1"/>
      <name val="Wingdings"/>
      <charset val="2"/>
    </font>
    <font>
      <sz val="11"/>
      <color rgb="FFFF0000"/>
      <name val="Wingdings"/>
      <charset val="2"/>
    </font>
    <font>
      <b/>
      <i/>
      <sz val="11"/>
      <color theme="1"/>
      <name val="Calibri"/>
      <family val="2"/>
      <scheme val="minor"/>
    </font>
    <font>
      <i/>
      <u/>
      <sz val="11"/>
      <color theme="1"/>
      <name val="Calibri"/>
      <family val="2"/>
      <scheme val="minor"/>
    </font>
    <font>
      <b/>
      <sz val="12"/>
      <color theme="1"/>
      <name val="Calibri"/>
      <family val="2"/>
      <scheme val="minor"/>
    </font>
    <font>
      <b/>
      <sz val="12"/>
      <color indexed="36"/>
      <name val="Calibri"/>
      <family val="2"/>
      <scheme val="minor"/>
    </font>
    <font>
      <b/>
      <sz val="11"/>
      <color indexed="36"/>
      <name val="Calibri"/>
      <family val="2"/>
      <scheme val="minor"/>
    </font>
    <font>
      <i/>
      <sz val="11"/>
      <color indexed="36"/>
      <name val="Calibri"/>
      <family val="2"/>
      <scheme val="minor"/>
    </font>
    <font>
      <b/>
      <sz val="11"/>
      <color theme="1"/>
      <name val="Calibri"/>
      <family val="2"/>
      <scheme val="minor"/>
    </font>
    <font>
      <b/>
      <sz val="11"/>
      <color theme="0"/>
      <name val="Calibri"/>
      <family val="2"/>
      <scheme val="minor"/>
    </font>
    <font>
      <sz val="11"/>
      <color rgb="FF006411"/>
      <name val="Calibri"/>
      <family val="2"/>
      <scheme val="minor"/>
    </font>
    <font>
      <b/>
      <sz val="11"/>
      <color rgb="FF006411"/>
      <name val="Calibri"/>
      <family val="2"/>
      <scheme val="minor"/>
    </font>
    <font>
      <b/>
      <sz val="11"/>
      <color rgb="FF006411"/>
      <name val="Calibri"/>
      <family val="2"/>
    </font>
    <font>
      <sz val="11"/>
      <color rgb="FF000066"/>
      <name val="Calibri"/>
      <family val="2"/>
      <scheme val="minor"/>
    </font>
    <font>
      <sz val="11"/>
      <color theme="0"/>
      <name val="Calibri"/>
      <family val="2"/>
    </font>
    <font>
      <b/>
      <sz val="14"/>
      <color indexed="9"/>
      <name val="Calibri"/>
      <family val="2"/>
      <scheme val="minor"/>
    </font>
    <font>
      <b/>
      <sz val="11"/>
      <color indexed="8"/>
      <name val="Calibri"/>
      <family val="2"/>
      <scheme val="minor"/>
    </font>
    <font>
      <sz val="18"/>
      <color indexed="9"/>
      <name val="Calibri"/>
      <family val="2"/>
      <scheme val="minor"/>
    </font>
    <font>
      <b/>
      <sz val="12"/>
      <color indexed="8"/>
      <name val="Calibri"/>
      <family val="2"/>
      <scheme val="minor"/>
    </font>
    <font>
      <b/>
      <sz val="12"/>
      <color indexed="9"/>
      <name val="Calibri"/>
      <family val="2"/>
      <scheme val="minor"/>
    </font>
    <font>
      <b/>
      <sz val="10"/>
      <color indexed="56"/>
      <name val="Calibri"/>
      <family val="2"/>
      <scheme val="minor"/>
    </font>
    <font>
      <b/>
      <sz val="10"/>
      <color indexed="8"/>
      <name val="Calibri"/>
      <family val="2"/>
      <scheme val="minor"/>
    </font>
    <font>
      <i/>
      <sz val="10"/>
      <color indexed="8"/>
      <name val="Calibri"/>
      <family val="2"/>
      <scheme val="minor"/>
    </font>
    <font>
      <sz val="10"/>
      <color indexed="8"/>
      <name val="Calibri"/>
      <family val="2"/>
      <scheme val="minor"/>
    </font>
    <font>
      <i/>
      <sz val="12"/>
      <name val="Calibri"/>
      <family val="2"/>
      <scheme val="minor"/>
    </font>
    <font>
      <sz val="12"/>
      <name val="Calibri"/>
      <family val="2"/>
      <scheme val="minor"/>
    </font>
    <font>
      <b/>
      <sz val="10"/>
      <name val="Calibri"/>
      <family val="2"/>
      <scheme val="minor"/>
    </font>
    <font>
      <b/>
      <sz val="11"/>
      <name val="Calibri"/>
      <family val="2"/>
      <scheme val="minor"/>
    </font>
    <font>
      <sz val="10"/>
      <name val="Calibri"/>
      <family val="2"/>
      <scheme val="minor"/>
    </font>
    <font>
      <b/>
      <sz val="12"/>
      <color indexed="56"/>
      <name val="Calibri"/>
      <family val="2"/>
      <scheme val="minor"/>
    </font>
    <font>
      <sz val="11"/>
      <color indexed="8"/>
      <name val="Calibri"/>
      <family val="2"/>
      <scheme val="minor"/>
    </font>
    <font>
      <b/>
      <sz val="11"/>
      <color indexed="62"/>
      <name val="Calibri"/>
      <family val="2"/>
      <scheme val="minor"/>
    </font>
    <font>
      <b/>
      <sz val="14"/>
      <color indexed="62"/>
      <name val="Calibri"/>
      <family val="2"/>
      <scheme val="minor"/>
    </font>
    <font>
      <i/>
      <sz val="11"/>
      <color indexed="8"/>
      <name val="Calibri"/>
      <family val="2"/>
      <scheme val="minor"/>
    </font>
    <font>
      <sz val="11"/>
      <name val="Calibri"/>
      <family val="2"/>
      <scheme val="minor"/>
    </font>
    <font>
      <b/>
      <sz val="12"/>
      <color indexed="62"/>
      <name val="Calibri"/>
      <family val="2"/>
      <scheme val="minor"/>
    </font>
    <font>
      <sz val="11"/>
      <color indexed="10"/>
      <name val="Calibri"/>
      <family val="2"/>
      <scheme val="minor"/>
    </font>
    <font>
      <sz val="12"/>
      <color indexed="8"/>
      <name val="Calibri"/>
      <family val="2"/>
      <scheme val="minor"/>
    </font>
    <font>
      <sz val="11"/>
      <color rgb="FFFF0000"/>
      <name val="Calibri"/>
      <family val="2"/>
      <scheme val="minor"/>
    </font>
    <font>
      <b/>
      <sz val="11"/>
      <color rgb="FFFF0000"/>
      <name val="Calibri"/>
      <family val="2"/>
      <scheme val="minor"/>
    </font>
    <font>
      <u/>
      <sz val="11"/>
      <color theme="10"/>
      <name val="Calibri"/>
      <family val="2"/>
    </font>
    <font>
      <i/>
      <sz val="9"/>
      <color indexed="81"/>
      <name val="Tahoma"/>
      <family val="2"/>
    </font>
    <font>
      <b/>
      <sz val="10.5"/>
      <color indexed="36"/>
      <name val="Calibri"/>
      <family val="2"/>
    </font>
    <font>
      <sz val="10"/>
      <color rgb="FF006411"/>
      <name val="Calibri"/>
      <family val="2"/>
      <scheme val="minor"/>
    </font>
    <font>
      <b/>
      <sz val="10"/>
      <color rgb="FF006411"/>
      <name val="Calibri"/>
      <family val="2"/>
      <scheme val="minor"/>
    </font>
    <font>
      <sz val="10"/>
      <color theme="1"/>
      <name val="Calibri"/>
      <family val="2"/>
      <scheme val="minor"/>
    </font>
    <font>
      <b/>
      <sz val="10"/>
      <color rgb="FFFF0000"/>
      <name val="Calibri"/>
      <family val="2"/>
      <scheme val="minor"/>
    </font>
    <font>
      <b/>
      <vertAlign val="subscript"/>
      <sz val="10"/>
      <color indexed="56"/>
      <name val="Calibri"/>
      <family val="2"/>
      <scheme val="minor"/>
    </font>
    <font>
      <b/>
      <vertAlign val="subscript"/>
      <sz val="10"/>
      <color indexed="8"/>
      <name val="Calibri"/>
      <family val="2"/>
      <scheme val="minor"/>
    </font>
    <font>
      <b/>
      <sz val="10"/>
      <color rgb="FF006411"/>
      <name val="Calibri"/>
      <family val="2"/>
    </font>
    <font>
      <i/>
      <sz val="11"/>
      <color rgb="FF006411"/>
      <name val="Calibri"/>
      <family val="2"/>
    </font>
    <font>
      <i/>
      <sz val="11"/>
      <color rgb="FF006411"/>
      <name val="Calibri"/>
      <family val="2"/>
      <scheme val="minor"/>
    </font>
    <font>
      <b/>
      <sz val="9"/>
      <color indexed="81"/>
      <name val="Tahoma"/>
      <charset val="1"/>
    </font>
    <font>
      <strike/>
      <sz val="11"/>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i/>
      <sz val="10.5"/>
      <color theme="1"/>
      <name val="Calibri"/>
      <family val="2"/>
      <scheme val="minor"/>
    </font>
    <font>
      <b/>
      <i/>
      <sz val="10.5"/>
      <color theme="1"/>
      <name val="Calibri"/>
      <family val="2"/>
      <scheme val="minor"/>
    </font>
  </fonts>
  <fills count="37">
    <fill>
      <patternFill patternType="none"/>
    </fill>
    <fill>
      <patternFill patternType="gray125"/>
    </fill>
    <fill>
      <patternFill patternType="solid">
        <fgColor indexed="51"/>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17"/>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6"/>
        <bgColor indexed="64"/>
      </patternFill>
    </fill>
    <fill>
      <patternFill patternType="solid">
        <fgColor indexed="8"/>
        <bgColor indexed="64"/>
      </patternFill>
    </fill>
    <fill>
      <patternFill patternType="solid">
        <fgColor indexed="11"/>
        <bgColor indexed="64"/>
      </patternFill>
    </fill>
    <fill>
      <patternFill patternType="solid">
        <fgColor indexed="46"/>
        <bgColor indexed="64"/>
      </patternFill>
    </fill>
    <fill>
      <patternFill patternType="solid">
        <fgColor indexed="42"/>
        <bgColor indexed="64"/>
      </patternFill>
    </fill>
    <fill>
      <patternFill patternType="solid">
        <fgColor indexed="63"/>
        <bgColor indexed="64"/>
      </patternFill>
    </fill>
    <fill>
      <patternFill patternType="solid">
        <fgColor indexed="57"/>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70C0"/>
        <bgColor indexed="64"/>
      </patternFill>
    </fill>
    <fill>
      <patternFill patternType="solid">
        <fgColor theme="0" tint="-0.14996795556505021"/>
        <bgColor indexed="64"/>
      </patternFill>
    </fill>
    <fill>
      <patternFill patternType="solid">
        <fgColor theme="0"/>
        <bgColor indexed="64"/>
      </patternFill>
    </fill>
    <fill>
      <patternFill patternType="solid">
        <fgColor rgb="FF002060"/>
        <bgColor indexed="64"/>
      </patternFill>
    </fill>
    <fill>
      <patternFill patternType="solid">
        <fgColor rgb="FF1FB714"/>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4F4F"/>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6411"/>
        <bgColor indexed="64"/>
      </patternFill>
    </fill>
    <fill>
      <patternFill patternType="solid">
        <fgColor theme="0" tint="-0.249977111117893"/>
        <bgColor indexed="64"/>
      </patternFill>
    </fill>
  </fills>
  <borders count="168">
    <border>
      <left/>
      <right/>
      <top/>
      <bottom/>
      <diagonal/>
    </border>
    <border>
      <left style="double">
        <color auto="1"/>
      </left>
      <right style="double">
        <color auto="1"/>
      </right>
      <top style="double">
        <color auto="1"/>
      </top>
      <bottom style="double">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indexed="62"/>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8"/>
      </right>
      <top style="medium">
        <color auto="1"/>
      </top>
      <bottom style="medium">
        <color auto="1"/>
      </bottom>
      <diagonal/>
    </border>
    <border>
      <left/>
      <right style="medium">
        <color auto="1"/>
      </right>
      <top style="thin">
        <color auto="1"/>
      </top>
      <bottom style="thin">
        <color auto="1"/>
      </bottom>
      <diagonal/>
    </border>
    <border>
      <left/>
      <right style="medium">
        <color indexed="62"/>
      </right>
      <top/>
      <bottom/>
      <diagonal/>
    </border>
    <border>
      <left style="medium">
        <color indexed="8"/>
      </left>
      <right/>
      <top style="medium">
        <color auto="1"/>
      </top>
      <bottom style="medium">
        <color auto="1"/>
      </bottom>
      <diagonal/>
    </border>
    <border>
      <left style="medium">
        <color auto="1"/>
      </left>
      <right style="medium">
        <color auto="1"/>
      </right>
      <top style="medium">
        <color indexed="8"/>
      </top>
      <bottom/>
      <diagonal/>
    </border>
    <border>
      <left style="medium">
        <color indexed="8"/>
      </left>
      <right style="medium">
        <color auto="1"/>
      </right>
      <top/>
      <bottom/>
      <diagonal/>
    </border>
    <border>
      <left style="medium">
        <color indexed="8"/>
      </left>
      <right style="medium">
        <color auto="1"/>
      </right>
      <top/>
      <bottom style="medium">
        <color indexed="8"/>
      </bottom>
      <diagonal/>
    </border>
    <border>
      <left/>
      <right style="medium">
        <color indexed="8"/>
      </right>
      <top/>
      <bottom/>
      <diagonal/>
    </border>
    <border>
      <left style="medium">
        <color auto="1"/>
      </left>
      <right/>
      <top/>
      <bottom style="medium">
        <color indexed="8"/>
      </bottom>
      <diagonal/>
    </border>
    <border>
      <left/>
      <right style="medium">
        <color indexed="8"/>
      </right>
      <top/>
      <bottom style="medium">
        <color indexed="8"/>
      </bottom>
      <diagonal/>
    </border>
    <border>
      <left/>
      <right style="thin">
        <color rgb="FF000066"/>
      </right>
      <top/>
      <bottom/>
      <diagonal/>
    </border>
    <border>
      <left style="medium">
        <color rgb="FF000066"/>
      </left>
      <right/>
      <top style="medium">
        <color rgb="FF000066"/>
      </top>
      <bottom/>
      <diagonal/>
    </border>
    <border>
      <left/>
      <right/>
      <top style="medium">
        <color rgb="FF000066"/>
      </top>
      <bottom/>
      <diagonal/>
    </border>
    <border>
      <left/>
      <right style="medium">
        <color rgb="FF000066"/>
      </right>
      <top style="medium">
        <color rgb="FF000066"/>
      </top>
      <bottom/>
      <diagonal/>
    </border>
    <border>
      <left style="medium">
        <color rgb="FF000066"/>
      </left>
      <right/>
      <top/>
      <bottom style="medium">
        <color rgb="FF000066"/>
      </bottom>
      <diagonal/>
    </border>
    <border>
      <left/>
      <right/>
      <top/>
      <bottom style="medium">
        <color rgb="FF000066"/>
      </bottom>
      <diagonal/>
    </border>
    <border>
      <left/>
      <right style="medium">
        <color rgb="FF000066"/>
      </right>
      <top/>
      <bottom style="medium">
        <color rgb="FF000066"/>
      </bottom>
      <diagonal/>
    </border>
    <border>
      <left style="medium">
        <color rgb="FF000066"/>
      </left>
      <right/>
      <top/>
      <bottom/>
      <diagonal/>
    </border>
    <border>
      <left/>
      <right style="medium">
        <color rgb="FF000066"/>
      </right>
      <top/>
      <bottom/>
      <diagonal/>
    </border>
    <border>
      <left/>
      <right/>
      <top style="thin">
        <color rgb="FF000066"/>
      </top>
      <bottom/>
      <diagonal/>
    </border>
    <border>
      <left style="medium">
        <color rgb="FF006411"/>
      </left>
      <right/>
      <top style="medium">
        <color rgb="FF006411"/>
      </top>
      <bottom/>
      <diagonal/>
    </border>
    <border>
      <left/>
      <right/>
      <top style="medium">
        <color rgb="FF006411"/>
      </top>
      <bottom/>
      <diagonal/>
    </border>
    <border>
      <left/>
      <right style="medium">
        <color rgb="FF006411"/>
      </right>
      <top style="medium">
        <color rgb="FF006411"/>
      </top>
      <bottom/>
      <diagonal/>
    </border>
    <border>
      <left style="medium">
        <color rgb="FF006411"/>
      </left>
      <right/>
      <top/>
      <bottom/>
      <diagonal/>
    </border>
    <border>
      <left/>
      <right style="medium">
        <color rgb="FF006411"/>
      </right>
      <top/>
      <bottom/>
      <diagonal/>
    </border>
    <border>
      <left style="medium">
        <color rgb="FF006411"/>
      </left>
      <right/>
      <top/>
      <bottom style="medium">
        <color rgb="FF006411"/>
      </bottom>
      <diagonal/>
    </border>
    <border>
      <left/>
      <right/>
      <top/>
      <bottom style="medium">
        <color rgb="FF006411"/>
      </bottom>
      <diagonal/>
    </border>
    <border>
      <left/>
      <right style="medium">
        <color rgb="FF006411"/>
      </right>
      <top/>
      <bottom style="medium">
        <color rgb="FF006411"/>
      </bottom>
      <diagonal/>
    </border>
    <border>
      <left style="thin">
        <color rgb="FF006411"/>
      </left>
      <right style="thin">
        <color rgb="FF006411"/>
      </right>
      <top style="thin">
        <color rgb="FF006411"/>
      </top>
      <bottom style="thin">
        <color rgb="FF006411"/>
      </bottom>
      <diagonal/>
    </border>
    <border>
      <left/>
      <right/>
      <top style="thick">
        <color rgb="FF1FB714"/>
      </top>
      <bottom/>
      <diagonal/>
    </border>
    <border>
      <left style="medium">
        <color rgb="FF006411"/>
      </left>
      <right style="thin">
        <color rgb="FF006411"/>
      </right>
      <top style="medium">
        <color rgb="FF006411"/>
      </top>
      <bottom style="thin">
        <color rgb="FF006411"/>
      </bottom>
      <diagonal/>
    </border>
    <border>
      <left style="thin">
        <color rgb="FF006411"/>
      </left>
      <right style="thin">
        <color rgb="FF006411"/>
      </right>
      <top style="medium">
        <color rgb="FF006411"/>
      </top>
      <bottom style="thin">
        <color rgb="FF006411"/>
      </bottom>
      <diagonal/>
    </border>
    <border>
      <left style="thin">
        <color rgb="FF006411"/>
      </left>
      <right style="medium">
        <color rgb="FF006411"/>
      </right>
      <top style="medium">
        <color rgb="FF006411"/>
      </top>
      <bottom style="thin">
        <color rgb="FF006411"/>
      </bottom>
      <diagonal/>
    </border>
    <border>
      <left style="medium">
        <color rgb="FF006411"/>
      </left>
      <right style="thin">
        <color rgb="FF006411"/>
      </right>
      <top style="thin">
        <color rgb="FF006411"/>
      </top>
      <bottom style="thin">
        <color rgb="FF006411"/>
      </bottom>
      <diagonal/>
    </border>
    <border>
      <left style="thin">
        <color rgb="FF006411"/>
      </left>
      <right style="medium">
        <color rgb="FF006411"/>
      </right>
      <top style="thin">
        <color rgb="FF006411"/>
      </top>
      <bottom style="thin">
        <color rgb="FF006411"/>
      </bottom>
      <diagonal/>
    </border>
    <border>
      <left style="medium">
        <color rgb="FF006411"/>
      </left>
      <right style="thin">
        <color rgb="FF006411"/>
      </right>
      <top style="thin">
        <color rgb="FF006411"/>
      </top>
      <bottom style="medium">
        <color rgb="FF006411"/>
      </bottom>
      <diagonal/>
    </border>
    <border>
      <left style="thin">
        <color rgb="FF006411"/>
      </left>
      <right style="thin">
        <color rgb="FF006411"/>
      </right>
      <top style="thin">
        <color rgb="FF006411"/>
      </top>
      <bottom style="medium">
        <color rgb="FF006411"/>
      </bottom>
      <diagonal/>
    </border>
    <border>
      <left style="thin">
        <color rgb="FF006411"/>
      </left>
      <right style="medium">
        <color rgb="FF006411"/>
      </right>
      <top style="thin">
        <color rgb="FF006411"/>
      </top>
      <bottom style="medium">
        <color rgb="FF00641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2"/>
      </right>
      <top style="medium">
        <color auto="1"/>
      </top>
      <bottom/>
      <diagonal/>
    </border>
    <border>
      <left/>
      <right style="medium">
        <color indexed="62"/>
      </right>
      <top/>
      <bottom style="medium">
        <color auto="1"/>
      </bottom>
      <diagonal/>
    </border>
    <border>
      <left/>
      <right style="medium">
        <color indexed="62"/>
      </right>
      <top style="medium">
        <color auto="1"/>
      </top>
      <bottom style="medium">
        <color auto="1"/>
      </bottom>
      <diagonal/>
    </border>
    <border>
      <left/>
      <right style="medium">
        <color auto="1"/>
      </right>
      <top style="medium">
        <color auto="1"/>
      </top>
      <bottom style="medium">
        <color auto="1"/>
      </bottom>
      <diagonal/>
    </border>
    <border>
      <left style="medium">
        <color rgb="FFFF4F4F"/>
      </left>
      <right/>
      <top style="medium">
        <color rgb="FFFF4F4F"/>
      </top>
      <bottom style="medium">
        <color rgb="FFFF4F4F"/>
      </bottom>
      <diagonal/>
    </border>
    <border>
      <left/>
      <right/>
      <top style="medium">
        <color rgb="FFFF4F4F"/>
      </top>
      <bottom style="medium">
        <color rgb="FFFF4F4F"/>
      </bottom>
      <diagonal/>
    </border>
    <border>
      <left/>
      <right style="medium">
        <color rgb="FFFF4F4F"/>
      </right>
      <top style="medium">
        <color rgb="FFFF4F4F"/>
      </top>
      <bottom style="medium">
        <color rgb="FFFF4F4F"/>
      </bottom>
      <diagonal/>
    </border>
    <border>
      <left style="medium">
        <color rgb="FFFF4F4F"/>
      </left>
      <right/>
      <top style="medium">
        <color rgb="FFFF4F4F"/>
      </top>
      <bottom/>
      <diagonal/>
    </border>
    <border>
      <left/>
      <right/>
      <top style="medium">
        <color rgb="FFFF4F4F"/>
      </top>
      <bottom/>
      <diagonal/>
    </border>
    <border>
      <left/>
      <right style="medium">
        <color rgb="FFFF4F4F"/>
      </right>
      <top style="medium">
        <color rgb="FFFF4F4F"/>
      </top>
      <bottom/>
      <diagonal/>
    </border>
    <border>
      <left style="medium">
        <color rgb="FFFF4F4F"/>
      </left>
      <right/>
      <top/>
      <bottom/>
      <diagonal/>
    </border>
    <border>
      <left/>
      <right style="medium">
        <color rgb="FFFF4F4F"/>
      </right>
      <top/>
      <bottom/>
      <diagonal/>
    </border>
    <border>
      <left style="medium">
        <color rgb="FFFF4F4F"/>
      </left>
      <right/>
      <top/>
      <bottom style="medium">
        <color rgb="FFFF4F4F"/>
      </bottom>
      <diagonal/>
    </border>
    <border>
      <left/>
      <right/>
      <top/>
      <bottom style="medium">
        <color rgb="FFFF4F4F"/>
      </bottom>
      <diagonal/>
    </border>
    <border>
      <left/>
      <right style="medium">
        <color rgb="FFFF4F4F"/>
      </right>
      <top/>
      <bottom style="medium">
        <color rgb="FFFF4F4F"/>
      </bottom>
      <diagonal/>
    </border>
    <border>
      <left style="medium">
        <color auto="1"/>
      </left>
      <right/>
      <top/>
      <bottom/>
      <diagonal/>
    </border>
    <border>
      <left/>
      <right style="medium">
        <color auto="1"/>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auto="1"/>
      </bottom>
      <diagonal/>
    </border>
    <border>
      <left/>
      <right/>
      <top/>
      <bottom style="thick">
        <color rgb="FF1FB714"/>
      </bottom>
      <diagonal/>
    </border>
    <border>
      <left style="thin">
        <color rgb="FF006411"/>
      </left>
      <right/>
      <top style="thin">
        <color rgb="FF006411"/>
      </top>
      <bottom style="thin">
        <color rgb="FF006411"/>
      </bottom>
      <diagonal/>
    </border>
    <border>
      <left/>
      <right/>
      <top style="thin">
        <color rgb="FF006411"/>
      </top>
      <bottom style="thin">
        <color rgb="FF006411"/>
      </bottom>
      <diagonal/>
    </border>
    <border>
      <left/>
      <right style="thin">
        <color rgb="FF006411"/>
      </right>
      <top style="thin">
        <color rgb="FF006411"/>
      </top>
      <bottom style="thin">
        <color rgb="FF00641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auto="1"/>
      </right>
      <top style="medium">
        <color indexed="64"/>
      </top>
      <bottom/>
      <diagonal/>
    </border>
    <border>
      <left/>
      <right style="medium">
        <color auto="1"/>
      </right>
      <top style="medium">
        <color indexed="64"/>
      </top>
      <bottom/>
      <diagonal/>
    </border>
  </borders>
  <cellStyleXfs count="53">
    <xf numFmtId="0" fontId="0" fillId="0" borderId="0"/>
    <xf numFmtId="3" fontId="50" fillId="17" borderId="0">
      <alignment horizontal="center" vertical="center"/>
    </xf>
    <xf numFmtId="3" fontId="1" fillId="2" borderId="0">
      <alignment horizontal="center" vertical="center"/>
    </xf>
    <xf numFmtId="3" fontId="1" fillId="2" borderId="0">
      <alignment horizontal="center" vertical="center"/>
    </xf>
    <xf numFmtId="3" fontId="1" fillId="2" borderId="0">
      <alignment horizontal="center" vertical="center"/>
    </xf>
    <xf numFmtId="3" fontId="1" fillId="2" borderId="0">
      <alignment horizontal="center" vertical="center"/>
    </xf>
    <xf numFmtId="0" fontId="51" fillId="18" borderId="0">
      <alignment horizontal="center" vertical="center" wrapText="1"/>
    </xf>
    <xf numFmtId="0" fontId="52" fillId="18" borderId="0">
      <alignment horizontal="center" vertical="center"/>
      <protection hidden="1"/>
    </xf>
    <xf numFmtId="0" fontId="53" fillId="0" borderId="0">
      <alignment horizontal="center" vertical="center" shrinkToFit="1"/>
      <protection hidden="1"/>
    </xf>
    <xf numFmtId="0" fontId="52" fillId="19" borderId="0">
      <alignment vertical="center"/>
    </xf>
    <xf numFmtId="0" fontId="52" fillId="19" borderId="0"/>
    <xf numFmtId="0" fontId="10" fillId="4" borderId="0">
      <alignment vertical="center"/>
    </xf>
    <xf numFmtId="0" fontId="52" fillId="20" borderId="0">
      <alignment vertical="center"/>
    </xf>
    <xf numFmtId="0" fontId="52" fillId="20" borderId="0"/>
    <xf numFmtId="0" fontId="10" fillId="5" borderId="0">
      <alignment vertical="center"/>
    </xf>
    <xf numFmtId="0" fontId="52" fillId="6" borderId="0">
      <alignment vertical="center"/>
    </xf>
    <xf numFmtId="0" fontId="10" fillId="6" borderId="0">
      <alignment vertical="center"/>
    </xf>
    <xf numFmtId="0" fontId="54" fillId="5" borderId="0"/>
    <xf numFmtId="0" fontId="56" fillId="21" borderId="1">
      <alignment horizontal="center" vertical="center"/>
    </xf>
    <xf numFmtId="0" fontId="57" fillId="0" borderId="0" applyNumberFormat="0" applyFill="0" applyBorder="0" applyAlignment="0" applyProtection="0"/>
    <xf numFmtId="0" fontId="55" fillId="0" borderId="0">
      <alignment vertical="center"/>
    </xf>
    <xf numFmtId="0" fontId="42" fillId="0" borderId="0"/>
    <xf numFmtId="0" fontId="58" fillId="0" borderId="0">
      <alignment horizontal="right" vertical="center"/>
    </xf>
    <xf numFmtId="0" fontId="59" fillId="0" borderId="0">
      <alignment vertical="center"/>
    </xf>
    <xf numFmtId="9" fontId="7" fillId="0" borderId="0" applyFont="0" applyFill="0" applyBorder="0" applyAlignment="0" applyProtection="0"/>
    <xf numFmtId="0" fontId="60" fillId="0" borderId="0">
      <alignment horizontal="center" vertical="center"/>
    </xf>
    <xf numFmtId="0" fontId="61" fillId="0" borderId="0">
      <alignment horizontal="center" vertical="center"/>
    </xf>
    <xf numFmtId="0" fontId="22" fillId="0" borderId="0">
      <alignment vertical="center"/>
    </xf>
    <xf numFmtId="0" fontId="46" fillId="0" borderId="0">
      <alignment vertical="center"/>
    </xf>
    <xf numFmtId="0" fontId="43" fillId="0" borderId="0">
      <alignment horizontal="left" vertical="center"/>
      <protection hidden="1"/>
    </xf>
    <xf numFmtId="0" fontId="47" fillId="0" borderId="0">
      <alignment vertical="center"/>
      <protection hidden="1"/>
    </xf>
    <xf numFmtId="0" fontId="62" fillId="0" borderId="0">
      <alignment vertical="center"/>
    </xf>
    <xf numFmtId="0" fontId="63" fillId="0" borderId="0">
      <alignment vertical="center"/>
    </xf>
    <xf numFmtId="0" fontId="52" fillId="22" borderId="0">
      <alignment vertical="center"/>
    </xf>
    <xf numFmtId="166" fontId="50" fillId="23" borderId="0">
      <alignment horizontal="right" vertical="center" indent="1"/>
    </xf>
    <xf numFmtId="166" fontId="50" fillId="23" borderId="0">
      <alignment horizontal="right" vertical="center" indent="1"/>
    </xf>
    <xf numFmtId="166" fontId="1" fillId="7" borderId="0">
      <alignment horizontal="right" vertical="center" indent="1"/>
    </xf>
    <xf numFmtId="166" fontId="1" fillId="7" borderId="0">
      <alignment horizontal="right" vertical="center" indent="1"/>
    </xf>
    <xf numFmtId="0" fontId="64" fillId="0" borderId="0">
      <alignment horizontal="center" vertical="center"/>
    </xf>
    <xf numFmtId="0" fontId="8" fillId="0" borderId="0">
      <alignment horizontal="center" vertical="center"/>
    </xf>
    <xf numFmtId="0" fontId="65" fillId="0" borderId="0">
      <alignment vertical="center"/>
    </xf>
    <xf numFmtId="0" fontId="65" fillId="24" borderId="0"/>
    <xf numFmtId="0" fontId="11" fillId="0" borderId="0">
      <alignment vertical="center"/>
    </xf>
    <xf numFmtId="0" fontId="66" fillId="0" borderId="0">
      <alignment vertical="center"/>
    </xf>
    <xf numFmtId="0" fontId="66" fillId="0" borderId="0"/>
    <xf numFmtId="0" fontId="14" fillId="0" borderId="0">
      <alignment vertical="center"/>
    </xf>
    <xf numFmtId="0" fontId="67" fillId="0" borderId="0">
      <alignment vertical="center"/>
    </xf>
    <xf numFmtId="0" fontId="13" fillId="0" borderId="0">
      <alignment vertical="center"/>
    </xf>
    <xf numFmtId="0" fontId="64" fillId="0" borderId="0"/>
    <xf numFmtId="0" fontId="24" fillId="31" borderId="109">
      <alignment vertical="center"/>
    </xf>
    <xf numFmtId="0" fontId="98" fillId="0" borderId="0">
      <alignment horizontal="left" vertical="center"/>
      <protection hidden="1"/>
    </xf>
    <xf numFmtId="0" fontId="98" fillId="0" borderId="0">
      <alignment horizontal="left" vertical="top" wrapText="1"/>
      <protection hidden="1"/>
    </xf>
    <xf numFmtId="0" fontId="100" fillId="0" borderId="0" applyNumberFormat="0" applyFill="0" applyBorder="0" applyAlignment="0" applyProtection="0">
      <alignment vertical="top"/>
      <protection locked="0"/>
    </xf>
  </cellStyleXfs>
  <cellXfs count="1311">
    <xf numFmtId="0" fontId="0" fillId="0" borderId="0" xfId="0"/>
    <xf numFmtId="0" fontId="63" fillId="0" borderId="0" xfId="32">
      <alignment vertical="center"/>
    </xf>
    <xf numFmtId="0" fontId="52" fillId="6" borderId="0" xfId="15">
      <alignment vertical="center"/>
    </xf>
    <xf numFmtId="0" fontId="60" fillId="0" borderId="0" xfId="25">
      <alignment horizontal="center" vertical="center"/>
    </xf>
    <xf numFmtId="0" fontId="64" fillId="0" borderId="0" xfId="38" applyProtection="1">
      <alignment horizontal="center" vertical="center"/>
      <protection hidden="1"/>
    </xf>
    <xf numFmtId="0" fontId="0" fillId="0" borderId="0" xfId="0" applyProtection="1">
      <protection hidden="1"/>
    </xf>
    <xf numFmtId="0" fontId="3" fillId="9" borderId="0" xfId="0" applyFont="1" applyFill="1" applyAlignment="1" applyProtection="1">
      <alignment horizontal="center"/>
      <protection hidden="1"/>
    </xf>
    <xf numFmtId="0" fontId="0" fillId="10" borderId="0" xfId="0" applyFill="1" applyProtection="1">
      <protection hidden="1"/>
    </xf>
    <xf numFmtId="0" fontId="52" fillId="20" borderId="0" xfId="12" applyProtection="1">
      <alignment vertical="center"/>
      <protection hidden="1"/>
    </xf>
    <xf numFmtId="0" fontId="52" fillId="20" borderId="0" xfId="13" applyProtection="1">
      <protection hidden="1"/>
    </xf>
    <xf numFmtId="0" fontId="0" fillId="10" borderId="5" xfId="0" applyFill="1" applyBorder="1" applyProtection="1">
      <protection hidden="1"/>
    </xf>
    <xf numFmtId="0" fontId="2" fillId="0" borderId="0" xfId="0" applyFont="1" applyAlignment="1" applyProtection="1">
      <alignment horizontal="left"/>
      <protection hidden="1"/>
    </xf>
    <xf numFmtId="0" fontId="22" fillId="0" borderId="0" xfId="27" applyProtection="1">
      <alignment vertical="center"/>
      <protection hidden="1"/>
    </xf>
    <xf numFmtId="0" fontId="0" fillId="8" borderId="0" xfId="0" applyFill="1" applyProtection="1">
      <protection hidden="1"/>
    </xf>
    <xf numFmtId="0" fontId="0" fillId="0" borderId="0" xfId="0" applyAlignment="1" applyProtection="1">
      <alignment horizontal="left"/>
      <protection hidden="1"/>
    </xf>
    <xf numFmtId="0" fontId="0" fillId="0" borderId="0" xfId="0" applyAlignment="1" applyProtection="1">
      <alignment wrapText="1"/>
      <protection hidden="1"/>
    </xf>
    <xf numFmtId="0" fontId="60" fillId="0" borderId="0" xfId="25" applyProtection="1">
      <alignment horizontal="center" vertical="center"/>
      <protection hidden="1"/>
    </xf>
    <xf numFmtId="0" fontId="0" fillId="9" borderId="0" xfId="0" applyFill="1" applyProtection="1">
      <protection hidden="1"/>
    </xf>
    <xf numFmtId="0" fontId="52" fillId="19" borderId="0" xfId="9" applyProtection="1">
      <alignment vertical="center"/>
      <protection hidden="1"/>
    </xf>
    <xf numFmtId="0" fontId="0" fillId="0" borderId="0" xfId="0" applyAlignment="1" applyProtection="1">
      <alignment vertical="center"/>
      <protection hidden="1"/>
    </xf>
    <xf numFmtId="0" fontId="0" fillId="0" borderId="2" xfId="0" applyBorder="1" applyAlignment="1" applyProtection="1">
      <alignment vertical="center"/>
      <protection hidden="1"/>
    </xf>
    <xf numFmtId="0" fontId="5" fillId="0" borderId="0" xfId="0" applyFont="1" applyAlignment="1" applyProtection="1">
      <alignment vertical="center"/>
      <protection hidden="1"/>
    </xf>
    <xf numFmtId="0" fontId="62" fillId="0" borderId="0" xfId="31" applyProtection="1">
      <alignment vertical="center"/>
      <protection hidden="1"/>
    </xf>
    <xf numFmtId="0" fontId="0" fillId="0" borderId="10" xfId="0" applyBorder="1" applyAlignment="1" applyProtection="1">
      <alignment vertical="center"/>
      <protection hidden="1"/>
    </xf>
    <xf numFmtId="0" fontId="0" fillId="0" borderId="4" xfId="0" applyBorder="1" applyAlignment="1" applyProtection="1">
      <alignment vertical="center"/>
      <protection hidden="1"/>
    </xf>
    <xf numFmtId="0" fontId="0" fillId="0" borderId="11" xfId="0" applyBorder="1" applyAlignment="1" applyProtection="1">
      <alignment vertical="center"/>
      <protection hidden="1"/>
    </xf>
    <xf numFmtId="0" fontId="4" fillId="0" borderId="0" xfId="0" applyFont="1" applyProtection="1">
      <protection hidden="1"/>
    </xf>
    <xf numFmtId="0" fontId="0" fillId="0" borderId="2" xfId="0" applyBorder="1" applyProtection="1">
      <protection hidden="1"/>
    </xf>
    <xf numFmtId="0" fontId="0" fillId="0" borderId="12" xfId="0" applyBorder="1" applyProtection="1">
      <protection hidden="1"/>
    </xf>
    <xf numFmtId="0" fontId="66" fillId="0" borderId="12" xfId="43" applyBorder="1" applyProtection="1">
      <alignment vertical="center"/>
      <protection hidden="1"/>
    </xf>
    <xf numFmtId="0" fontId="66" fillId="0" borderId="13" xfId="43" applyBorder="1" applyProtection="1">
      <alignment vertical="center"/>
      <protection hidden="1"/>
    </xf>
    <xf numFmtId="0" fontId="0" fillId="0" borderId="13" xfId="0" applyBorder="1" applyProtection="1">
      <protection hidden="1"/>
    </xf>
    <xf numFmtId="0" fontId="67" fillId="0" borderId="13" xfId="46" applyBorder="1" applyProtection="1">
      <alignment vertical="center"/>
      <protection hidden="1"/>
    </xf>
    <xf numFmtId="0" fontId="0" fillId="0" borderId="14" xfId="0" applyBorder="1" applyProtection="1">
      <protection hidden="1"/>
    </xf>
    <xf numFmtId="0" fontId="0" fillId="0" borderId="15" xfId="0" applyBorder="1" applyProtection="1">
      <protection hidden="1"/>
    </xf>
    <xf numFmtId="0" fontId="0" fillId="0" borderId="3" xfId="0" applyBorder="1" applyProtection="1">
      <protection hidden="1"/>
    </xf>
    <xf numFmtId="0" fontId="5" fillId="0" borderId="0" xfId="0" applyFont="1" applyProtection="1">
      <protection hidden="1"/>
    </xf>
    <xf numFmtId="0" fontId="52" fillId="20" borderId="0" xfId="13" applyAlignment="1" applyProtection="1">
      <alignment vertical="center"/>
      <protection hidden="1"/>
    </xf>
    <xf numFmtId="0" fontId="5" fillId="0" borderId="0" xfId="0" applyFont="1" applyAlignment="1" applyProtection="1">
      <alignment horizontal="left" vertical="center"/>
      <protection hidden="1"/>
    </xf>
    <xf numFmtId="0" fontId="52" fillId="19" borderId="0" xfId="10" applyProtection="1">
      <protection hidden="1"/>
    </xf>
    <xf numFmtId="0" fontId="52" fillId="3" borderId="0" xfId="9" applyFill="1" applyProtection="1">
      <alignment vertical="center"/>
      <protection hidden="1"/>
    </xf>
    <xf numFmtId="0" fontId="64" fillId="0" borderId="0" xfId="48" applyAlignment="1" applyProtection="1">
      <alignment vertical="center"/>
      <protection hidden="1"/>
    </xf>
    <xf numFmtId="0" fontId="0" fillId="0" borderId="12" xfId="0" applyBorder="1" applyAlignment="1" applyProtection="1">
      <alignment vertical="center"/>
      <protection hidden="1"/>
    </xf>
    <xf numFmtId="0" fontId="64" fillId="0" borderId="0" xfId="48" applyProtection="1">
      <protection hidden="1"/>
    </xf>
    <xf numFmtId="0" fontId="18" fillId="0" borderId="0" xfId="0" applyFont="1" applyProtection="1">
      <protection hidden="1"/>
    </xf>
    <xf numFmtId="0" fontId="0" fillId="0" borderId="0" xfId="0" applyAlignment="1" applyProtection="1">
      <alignment horizontal="left" vertical="top"/>
      <protection hidden="1"/>
    </xf>
    <xf numFmtId="0" fontId="66" fillId="0" borderId="12" xfId="44" applyBorder="1" applyAlignment="1" applyProtection="1">
      <alignment vertical="center"/>
      <protection hidden="1"/>
    </xf>
    <xf numFmtId="0" fontId="66" fillId="0" borderId="0" xfId="44" applyProtection="1">
      <protection hidden="1"/>
    </xf>
    <xf numFmtId="0" fontId="66" fillId="0" borderId="13" xfId="44" applyBorder="1" applyAlignment="1" applyProtection="1">
      <alignment vertical="center"/>
      <protection hidden="1"/>
    </xf>
    <xf numFmtId="0" fontId="0" fillId="0" borderId="13" xfId="0" applyBorder="1" applyAlignment="1" applyProtection="1">
      <alignment vertical="center"/>
      <protection hidden="1"/>
    </xf>
    <xf numFmtId="0" fontId="8" fillId="0" borderId="13" xfId="0" applyFont="1" applyBorder="1" applyAlignment="1" applyProtection="1">
      <alignment vertical="center"/>
      <protection hidden="1"/>
    </xf>
    <xf numFmtId="0" fontId="65" fillId="24" borderId="0" xfId="41" applyProtection="1">
      <protection hidden="1"/>
    </xf>
    <xf numFmtId="0" fontId="0" fillId="11" borderId="0" xfId="0" applyFill="1" applyProtection="1">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0" fontId="12" fillId="0" borderId="0" xfId="0" applyFont="1" applyProtection="1">
      <protection hidden="1"/>
    </xf>
    <xf numFmtId="0" fontId="0" fillId="0" borderId="16" xfId="0" applyBorder="1" applyAlignment="1" applyProtection="1">
      <alignment vertical="center"/>
      <protection hidden="1"/>
    </xf>
    <xf numFmtId="0" fontId="0" fillId="0" borderId="11" xfId="0" applyBorder="1" applyProtection="1">
      <protection hidden="1"/>
    </xf>
    <xf numFmtId="0" fontId="0" fillId="0" borderId="17" xfId="0" applyBorder="1" applyProtection="1">
      <protection hidden="1"/>
    </xf>
    <xf numFmtId="0" fontId="0" fillId="0" borderId="0" xfId="0" applyAlignment="1" applyProtection="1">
      <alignment horizontal="left" vertical="center"/>
      <protection hidden="1"/>
    </xf>
    <xf numFmtId="0" fontId="19" fillId="18" borderId="0" xfId="6" applyFont="1" applyProtection="1">
      <alignment horizontal="center" vertical="center" wrapText="1"/>
      <protection hidden="1"/>
    </xf>
    <xf numFmtId="0" fontId="0" fillId="0" borderId="0" xfId="0" applyAlignment="1" applyProtection="1">
      <alignment horizontal="center" vertical="center"/>
      <protection hidden="1"/>
    </xf>
    <xf numFmtId="166" fontId="0" fillId="0" borderId="12" xfId="0" applyNumberFormat="1" applyBorder="1" applyAlignment="1" applyProtection="1">
      <alignment horizontal="right" indent="1"/>
      <protection hidden="1"/>
    </xf>
    <xf numFmtId="166" fontId="0" fillId="0" borderId="0" xfId="0" applyNumberFormat="1" applyAlignment="1" applyProtection="1">
      <alignment horizontal="right" indent="1"/>
      <protection hidden="1"/>
    </xf>
    <xf numFmtId="166" fontId="0" fillId="0" borderId="13" xfId="0" applyNumberFormat="1" applyBorder="1" applyAlignment="1" applyProtection="1">
      <alignment horizontal="right" indent="1"/>
      <protection hidden="1"/>
    </xf>
    <xf numFmtId="0" fontId="0" fillId="0" borderId="12" xfId="0" applyBorder="1" applyAlignment="1" applyProtection="1">
      <alignment horizontal="right" indent="1"/>
      <protection hidden="1"/>
    </xf>
    <xf numFmtId="0" fontId="0" fillId="0" borderId="13" xfId="0" applyBorder="1" applyAlignment="1" applyProtection="1">
      <alignment horizontal="right" indent="1"/>
      <protection hidden="1"/>
    </xf>
    <xf numFmtId="0" fontId="0" fillId="0" borderId="0" xfId="0" applyAlignment="1" applyProtection="1">
      <alignment horizontal="right" indent="1"/>
      <protection hidden="1"/>
    </xf>
    <xf numFmtId="3" fontId="50" fillId="17" borderId="0" xfId="1" applyProtection="1">
      <alignment horizontal="center" vertical="center"/>
      <protection hidden="1"/>
    </xf>
    <xf numFmtId="0" fontId="19" fillId="0" borderId="0" xfId="6" applyFont="1" applyFill="1" applyProtection="1">
      <alignment horizontal="center" vertical="center" wrapText="1"/>
      <protection hidden="1"/>
    </xf>
    <xf numFmtId="0" fontId="22" fillId="0" borderId="0" xfId="27" applyAlignment="1" applyProtection="1">
      <alignment horizontal="right" vertical="center"/>
      <protection hidden="1"/>
    </xf>
    <xf numFmtId="0" fontId="3" fillId="9" borderId="0" xfId="0" applyFont="1" applyFill="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center"/>
      <protection hidden="1"/>
    </xf>
    <xf numFmtId="166" fontId="5" fillId="0" borderId="12" xfId="0" applyNumberFormat="1" applyFont="1" applyBorder="1" applyAlignment="1" applyProtection="1">
      <alignment horizontal="right" vertical="center" indent="1"/>
      <protection hidden="1"/>
    </xf>
    <xf numFmtId="166" fontId="5" fillId="0" borderId="13" xfId="0" applyNumberFormat="1" applyFont="1" applyBorder="1" applyAlignment="1" applyProtection="1">
      <alignment horizontal="right" vertical="center" indent="1"/>
      <protection hidden="1"/>
    </xf>
    <xf numFmtId="167" fontId="0" fillId="0" borderId="13" xfId="0" applyNumberFormat="1" applyBorder="1" applyProtection="1">
      <protection hidden="1"/>
    </xf>
    <xf numFmtId="0" fontId="62" fillId="0" borderId="0" xfId="31" applyAlignment="1" applyProtection="1">
      <alignment horizontal="right" vertical="center"/>
      <protection hidden="1"/>
    </xf>
    <xf numFmtId="0" fontId="53" fillId="0" borderId="0" xfId="8" applyAlignment="1">
      <alignment vertical="center" shrinkToFit="1"/>
      <protection hidden="1"/>
    </xf>
    <xf numFmtId="0" fontId="4" fillId="0" borderId="12" xfId="0" applyFont="1" applyBorder="1" applyAlignment="1" applyProtection="1">
      <alignment horizontal="right" vertical="center" indent="1"/>
      <protection hidden="1"/>
    </xf>
    <xf numFmtId="0" fontId="0" fillId="0" borderId="12" xfId="0" applyBorder="1" applyAlignment="1" applyProtection="1">
      <alignment horizontal="right" vertical="center" indent="1"/>
      <protection hidden="1"/>
    </xf>
    <xf numFmtId="0" fontId="0" fillId="0" borderId="0" xfId="0" applyAlignment="1" applyProtection="1">
      <alignment horizontal="right" vertical="center" indent="1"/>
      <protection hidden="1"/>
    </xf>
    <xf numFmtId="0" fontId="8" fillId="0" borderId="13" xfId="0" applyFont="1" applyBorder="1" applyAlignment="1" applyProtection="1">
      <alignment horizontal="right" vertical="center" indent="1"/>
      <protection hidden="1"/>
    </xf>
    <xf numFmtId="0" fontId="22" fillId="0" borderId="0" xfId="27" applyAlignment="1">
      <alignment horizontal="right" vertical="center"/>
    </xf>
    <xf numFmtId="0" fontId="22" fillId="0" borderId="0" xfId="27" applyAlignment="1">
      <alignment horizontal="left" vertical="center"/>
    </xf>
    <xf numFmtId="0" fontId="21" fillId="0" borderId="0" xfId="0" applyFont="1" applyAlignment="1" applyProtection="1">
      <alignment vertical="center"/>
      <protection hidden="1"/>
    </xf>
    <xf numFmtId="0" fontId="21" fillId="0" borderId="0" xfId="0" applyFont="1" applyProtection="1">
      <protection hidden="1"/>
    </xf>
    <xf numFmtId="0" fontId="23" fillId="0" borderId="0" xfId="0" applyFont="1" applyProtection="1">
      <protection hidden="1"/>
    </xf>
    <xf numFmtId="0" fontId="17" fillId="0" borderId="0" xfId="0" applyFont="1" applyAlignment="1" applyProtection="1">
      <alignment vertical="top" wrapText="1"/>
      <protection hidden="1"/>
    </xf>
    <xf numFmtId="0" fontId="3" fillId="0" borderId="0" xfId="0" applyFont="1" applyProtection="1">
      <protection hidden="1"/>
    </xf>
    <xf numFmtId="166" fontId="0" fillId="0" borderId="12" xfId="0" applyNumberFormat="1" applyBorder="1" applyProtection="1">
      <protection hidden="1"/>
    </xf>
    <xf numFmtId="166" fontId="0" fillId="0" borderId="0" xfId="0" applyNumberFormat="1" applyProtection="1">
      <protection hidden="1"/>
    </xf>
    <xf numFmtId="166" fontId="0" fillId="0" borderId="13" xfId="0" applyNumberFormat="1" applyBorder="1" applyProtection="1">
      <protection hidden="1"/>
    </xf>
    <xf numFmtId="0" fontId="0" fillId="0" borderId="0" xfId="0" applyAlignment="1" applyProtection="1">
      <alignment horizontal="center" vertical="center" wrapText="1"/>
      <protection hidden="1"/>
    </xf>
    <xf numFmtId="0" fontId="5" fillId="8" borderId="0" xfId="0" applyFont="1" applyFill="1" applyProtection="1">
      <protection hidden="1"/>
    </xf>
    <xf numFmtId="0" fontId="0" fillId="0" borderId="0" xfId="0" applyAlignment="1" applyProtection="1">
      <alignment horizontal="left" indent="1"/>
      <protection hidden="1"/>
    </xf>
    <xf numFmtId="0" fontId="64" fillId="0" borderId="0" xfId="48"/>
    <xf numFmtId="167" fontId="0" fillId="0" borderId="13" xfId="0" applyNumberFormat="1" applyBorder="1" applyAlignment="1" applyProtection="1">
      <alignment horizontal="center"/>
      <protection hidden="1"/>
    </xf>
    <xf numFmtId="0" fontId="25" fillId="0" borderId="0" xfId="0" applyFont="1" applyAlignment="1" applyProtection="1">
      <alignment vertical="center"/>
      <protection hidden="1"/>
    </xf>
    <xf numFmtId="0" fontId="25" fillId="0" borderId="0" xfId="0" applyFont="1" applyProtection="1">
      <protection hidden="1"/>
    </xf>
    <xf numFmtId="0" fontId="22" fillId="0" borderId="0" xfId="27" applyAlignment="1" applyProtection="1">
      <alignment horizontal="left" vertical="center"/>
      <protection hidden="1"/>
    </xf>
    <xf numFmtId="0" fontId="60" fillId="0" borderId="0" xfId="25" applyAlignment="1" applyProtection="1">
      <alignment horizontal="center" vertical="top"/>
      <protection hidden="1"/>
    </xf>
    <xf numFmtId="0" fontId="25" fillId="0" borderId="0" xfId="0" applyFont="1" applyAlignment="1" applyProtection="1">
      <alignment horizontal="center" vertical="center"/>
      <protection hidden="1"/>
    </xf>
    <xf numFmtId="0" fontId="66" fillId="0" borderId="0" xfId="44" applyAlignment="1" applyProtection="1">
      <alignment vertical="center" wrapText="1"/>
      <protection hidden="1"/>
    </xf>
    <xf numFmtId="0" fontId="64" fillId="0" borderId="0" xfId="48" applyAlignment="1" applyProtection="1">
      <alignment horizontal="left"/>
      <protection hidden="1"/>
    </xf>
    <xf numFmtId="169" fontId="0" fillId="0" borderId="12" xfId="0" applyNumberFormat="1" applyBorder="1" applyAlignment="1" applyProtection="1">
      <alignment horizontal="right" indent="1"/>
      <protection hidden="1"/>
    </xf>
    <xf numFmtId="0" fontId="0" fillId="0" borderId="16" xfId="0" applyBorder="1" applyProtection="1">
      <protection hidden="1"/>
    </xf>
    <xf numFmtId="0" fontId="0" fillId="0" borderId="10" xfId="0" applyBorder="1" applyProtection="1">
      <protection hidden="1"/>
    </xf>
    <xf numFmtId="0" fontId="0" fillId="0" borderId="4" xfId="0" applyBorder="1" applyProtection="1">
      <protection hidden="1"/>
    </xf>
    <xf numFmtId="0" fontId="4" fillId="0" borderId="16"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2" xfId="0" applyFont="1" applyBorder="1" applyAlignment="1" applyProtection="1">
      <alignment horizontal="center"/>
      <protection hidden="1"/>
    </xf>
    <xf numFmtId="169" fontId="0" fillId="0" borderId="0" xfId="0" applyNumberFormat="1" applyProtection="1">
      <protection hidden="1"/>
    </xf>
    <xf numFmtId="0" fontId="4" fillId="0" borderId="15" xfId="0" applyFont="1" applyBorder="1" applyProtection="1">
      <protection hidden="1"/>
    </xf>
    <xf numFmtId="0" fontId="25" fillId="0" borderId="0" xfId="0" applyFont="1" applyAlignment="1" applyProtection="1">
      <alignment horizontal="right" vertical="center"/>
      <protection hidden="1"/>
    </xf>
    <xf numFmtId="0" fontId="0" fillId="9" borderId="2" xfId="0" applyFill="1" applyBorder="1" applyProtection="1">
      <protection hidden="1"/>
    </xf>
    <xf numFmtId="0" fontId="25" fillId="0" borderId="0" xfId="0" applyFont="1" applyAlignment="1" applyProtection="1">
      <alignment horizontal="right"/>
      <protection hidden="1"/>
    </xf>
    <xf numFmtId="0" fontId="4" fillId="0" borderId="4" xfId="0" applyFont="1" applyBorder="1" applyProtection="1">
      <protection hidden="1"/>
    </xf>
    <xf numFmtId="0" fontId="4" fillId="0" borderId="2" xfId="0" applyFont="1" applyBorder="1" applyProtection="1">
      <protection hidden="1"/>
    </xf>
    <xf numFmtId="0" fontId="4" fillId="0" borderId="10" xfId="0" applyFont="1" applyBorder="1" applyProtection="1">
      <protection hidden="1"/>
    </xf>
    <xf numFmtId="0" fontId="4" fillId="0" borderId="0" xfId="0" applyFont="1" applyAlignment="1" applyProtection="1">
      <alignment wrapText="1"/>
      <protection hidden="1"/>
    </xf>
    <xf numFmtId="0" fontId="4" fillId="0" borderId="2" xfId="0" applyFont="1" applyBorder="1" applyAlignment="1" applyProtection="1">
      <alignment wrapText="1"/>
      <protection hidden="1"/>
    </xf>
    <xf numFmtId="166" fontId="0" fillId="0" borderId="2" xfId="0" applyNumberFormat="1" applyBorder="1" applyProtection="1">
      <protection hidden="1"/>
    </xf>
    <xf numFmtId="0" fontId="10" fillId="6" borderId="0" xfId="16" applyProtection="1">
      <alignment vertical="center"/>
      <protection hidden="1"/>
    </xf>
    <xf numFmtId="0" fontId="9" fillId="0" borderId="0" xfId="0" applyFont="1" applyAlignment="1" applyProtection="1">
      <alignment horizontal="left" vertical="center"/>
      <protection hidden="1"/>
    </xf>
    <xf numFmtId="0" fontId="8" fillId="0" borderId="0" xfId="39" applyProtection="1">
      <alignment horizontal="center" vertical="center"/>
      <protection hidden="1"/>
    </xf>
    <xf numFmtId="166" fontId="1" fillId="0" borderId="12" xfId="37" applyFill="1" applyBorder="1" applyAlignment="1" applyProtection="1">
      <alignment vertical="center"/>
      <protection hidden="1"/>
    </xf>
    <xf numFmtId="166" fontId="1" fillId="0" borderId="13" xfId="37" applyFill="1" applyBorder="1" applyAlignment="1" applyProtection="1">
      <alignment vertical="center"/>
      <protection hidden="1"/>
    </xf>
    <xf numFmtId="0" fontId="14" fillId="0" borderId="14" xfId="45" applyBorder="1" applyProtection="1">
      <alignment vertical="center"/>
      <protection hidden="1"/>
    </xf>
    <xf numFmtId="0" fontId="11" fillId="0" borderId="13" xfId="42" applyBorder="1" applyProtection="1">
      <alignment vertical="center"/>
      <protection hidden="1"/>
    </xf>
    <xf numFmtId="0" fontId="8" fillId="0" borderId="0" xfId="39" applyAlignment="1" applyProtection="1">
      <alignment vertical="center" wrapText="1"/>
      <protection hidden="1"/>
    </xf>
    <xf numFmtId="0" fontId="14" fillId="0" borderId="12" xfId="45" applyBorder="1" applyAlignment="1" applyProtection="1">
      <alignment horizontal="center" vertical="center"/>
      <protection hidden="1"/>
    </xf>
    <xf numFmtId="0" fontId="11" fillId="0" borderId="13" xfId="42" applyBorder="1" applyAlignment="1" applyProtection="1">
      <alignment horizontal="left" vertical="center"/>
      <protection hidden="1"/>
    </xf>
    <xf numFmtId="0" fontId="8" fillId="0" borderId="0" xfId="39" applyAlignment="1" applyProtection="1">
      <alignment vertical="center"/>
      <protection hidden="1"/>
    </xf>
    <xf numFmtId="169" fontId="0" fillId="0" borderId="0" xfId="0" applyNumberFormat="1" applyAlignment="1" applyProtection="1">
      <alignment horizontal="center" vertical="center"/>
      <protection hidden="1"/>
    </xf>
    <xf numFmtId="0" fontId="9" fillId="0" borderId="10" xfId="0" applyFont="1" applyBorder="1" applyAlignment="1" applyProtection="1">
      <alignment horizontal="left" vertical="center"/>
      <protection hidden="1"/>
    </xf>
    <xf numFmtId="169" fontId="0" fillId="0" borderId="10" xfId="0" applyNumberFormat="1" applyBorder="1" applyAlignment="1" applyProtection="1">
      <alignment horizontal="center" vertical="center"/>
      <protection hidden="1"/>
    </xf>
    <xf numFmtId="0" fontId="8" fillId="0" borderId="12" xfId="39" applyBorder="1" applyAlignment="1" applyProtection="1">
      <alignment vertical="center"/>
      <protection hidden="1"/>
    </xf>
    <xf numFmtId="0" fontId="9" fillId="0" borderId="15" xfId="0" applyFont="1" applyBorder="1" applyAlignment="1" applyProtection="1">
      <alignment horizontal="left" vertical="center"/>
      <protection hidden="1"/>
    </xf>
    <xf numFmtId="169" fontId="0" fillId="0" borderId="15" xfId="0" applyNumberFormat="1" applyBorder="1" applyAlignment="1" applyProtection="1">
      <alignment horizontal="center" vertical="center"/>
      <protection hidden="1"/>
    </xf>
    <xf numFmtId="0" fontId="0" fillId="0" borderId="15" xfId="0" applyBorder="1" applyAlignment="1" applyProtection="1">
      <alignment vertical="center"/>
      <protection hidden="1"/>
    </xf>
    <xf numFmtId="0" fontId="0" fillId="0" borderId="0" xfId="0" applyAlignment="1" applyProtection="1">
      <alignment horizontal="justify" vertical="center" wrapText="1"/>
      <protection hidden="1"/>
    </xf>
    <xf numFmtId="0" fontId="14" fillId="0" borderId="0" xfId="45" applyAlignment="1" applyProtection="1">
      <alignment horizontal="left" vertical="center"/>
      <protection hidden="1"/>
    </xf>
    <xf numFmtId="170" fontId="0" fillId="0" borderId="0" xfId="0" applyNumberFormat="1" applyProtection="1">
      <protection hidden="1"/>
    </xf>
    <xf numFmtId="0" fontId="66" fillId="0" borderId="12" xfId="44" applyBorder="1" applyAlignment="1" applyProtection="1">
      <alignment vertical="center" wrapText="1"/>
      <protection hidden="1"/>
    </xf>
    <xf numFmtId="0" fontId="52" fillId="22" borderId="0" xfId="33">
      <alignment vertical="center"/>
    </xf>
    <xf numFmtId="0" fontId="31" fillId="22" borderId="0" xfId="33" applyFont="1">
      <alignment vertical="center"/>
    </xf>
    <xf numFmtId="0" fontId="1" fillId="0" borderId="0" xfId="0" applyFont="1" applyAlignment="1" applyProtection="1">
      <alignment vertical="center"/>
      <protection hidden="1"/>
    </xf>
    <xf numFmtId="0" fontId="1" fillId="0" borderId="0" xfId="0" applyFont="1" applyAlignment="1" applyProtection="1">
      <alignment horizontal="right" vertical="center"/>
      <protection hidden="1"/>
    </xf>
    <xf numFmtId="0" fontId="6" fillId="0" borderId="0" xfId="0" applyFont="1" applyAlignment="1" applyProtection="1">
      <alignment vertical="center"/>
      <protection hidden="1"/>
    </xf>
    <xf numFmtId="0" fontId="41" fillId="0" borderId="0" xfId="0" applyFont="1" applyAlignment="1" applyProtection="1">
      <alignment vertical="center"/>
      <protection hidden="1"/>
    </xf>
    <xf numFmtId="0" fontId="41" fillId="0" borderId="0" xfId="0" applyFont="1" applyAlignment="1" applyProtection="1">
      <alignment horizontal="right" vertical="center"/>
      <protection hidden="1"/>
    </xf>
    <xf numFmtId="0" fontId="9" fillId="0" borderId="0" xfId="31" applyFont="1" applyAlignment="1" applyProtection="1">
      <alignment horizontal="left" vertical="center"/>
      <protection hidden="1"/>
    </xf>
    <xf numFmtId="0" fontId="29" fillId="0" borderId="0" xfId="0" applyFont="1" applyAlignment="1" applyProtection="1">
      <alignment horizontal="justify" vertical="center" wrapText="1"/>
      <protection hidden="1"/>
    </xf>
    <xf numFmtId="0" fontId="41" fillId="0" borderId="0" xfId="0" applyFont="1" applyAlignment="1" applyProtection="1">
      <alignment horizontal="justify" vertical="center" wrapText="1"/>
      <protection hidden="1"/>
    </xf>
    <xf numFmtId="0" fontId="6" fillId="0" borderId="0" xfId="0" applyFont="1" applyAlignment="1" applyProtection="1">
      <alignment horizontal="right" vertical="center"/>
      <protection hidden="1"/>
    </xf>
    <xf numFmtId="0" fontId="30" fillId="0" borderId="0" xfId="0" applyFont="1" applyAlignment="1" applyProtection="1">
      <alignment vertical="center"/>
      <protection hidden="1"/>
    </xf>
    <xf numFmtId="0" fontId="0" fillId="0" borderId="16" xfId="0" applyBorder="1"/>
    <xf numFmtId="0" fontId="0" fillId="0" borderId="10" xfId="0" applyBorder="1"/>
    <xf numFmtId="0" fontId="0" fillId="0" borderId="4" xfId="0" applyBorder="1"/>
    <xf numFmtId="0" fontId="41" fillId="0" borderId="11" xfId="0" applyFont="1" applyBorder="1"/>
    <xf numFmtId="0" fontId="41" fillId="0" borderId="2" xfId="0" applyFont="1" applyBorder="1"/>
    <xf numFmtId="0" fontId="41" fillId="0" borderId="0" xfId="0" applyFont="1"/>
    <xf numFmtId="0" fontId="0" fillId="0" borderId="11" xfId="0" applyBorder="1"/>
    <xf numFmtId="0" fontId="0" fillId="0" borderId="2" xfId="0" applyBorder="1"/>
    <xf numFmtId="0" fontId="0" fillId="0" borderId="17" xfId="0" applyBorder="1"/>
    <xf numFmtId="0" fontId="0" fillId="0" borderId="15" xfId="0" applyBorder="1"/>
    <xf numFmtId="0" fontId="0" fillId="0" borderId="3" xfId="0" applyBorder="1"/>
    <xf numFmtId="0" fontId="4" fillId="0" borderId="0" xfId="0" applyFont="1"/>
    <xf numFmtId="166" fontId="4" fillId="0" borderId="12" xfId="37" applyFont="1" applyFill="1" applyBorder="1" applyAlignment="1" applyProtection="1">
      <alignment vertical="center"/>
      <protection hidden="1"/>
    </xf>
    <xf numFmtId="166" fontId="4" fillId="0" borderId="13" xfId="37" applyFont="1" applyFill="1" applyBorder="1" applyAlignment="1" applyProtection="1">
      <alignment vertical="center"/>
      <protection hidden="1"/>
    </xf>
    <xf numFmtId="0" fontId="4" fillId="0" borderId="13" xfId="0" applyFont="1" applyBorder="1" applyProtection="1">
      <protection hidden="1"/>
    </xf>
    <xf numFmtId="0" fontId="0" fillId="0" borderId="13" xfId="0" applyBorder="1"/>
    <xf numFmtId="0" fontId="43" fillId="0" borderId="0" xfId="28" applyFont="1" applyProtection="1">
      <alignment vertical="center"/>
      <protection hidden="1"/>
    </xf>
    <xf numFmtId="0" fontId="9" fillId="0" borderId="0" xfId="32" applyFont="1" applyAlignment="1">
      <alignment horizontal="right" vertical="center"/>
    </xf>
    <xf numFmtId="0" fontId="63" fillId="0" borderId="0" xfId="32" applyAlignment="1">
      <alignment horizontal="left" vertical="center"/>
    </xf>
    <xf numFmtId="166" fontId="66" fillId="0" borderId="0" xfId="43" applyNumberFormat="1" applyAlignment="1" applyProtection="1">
      <alignment horizontal="left" vertical="center"/>
      <protection hidden="1"/>
    </xf>
    <xf numFmtId="0" fontId="4" fillId="0" borderId="12" xfId="0" applyFont="1" applyBorder="1"/>
    <xf numFmtId="0" fontId="66" fillId="0" borderId="2" xfId="43" applyBorder="1" applyAlignment="1" applyProtection="1">
      <alignment horizontal="left" vertical="center"/>
      <protection hidden="1"/>
    </xf>
    <xf numFmtId="0" fontId="1" fillId="0" borderId="12" xfId="0" applyFont="1" applyBorder="1" applyAlignment="1" applyProtection="1">
      <alignment horizontal="right" vertical="center" indent="1"/>
      <protection hidden="1"/>
    </xf>
    <xf numFmtId="0" fontId="1" fillId="0" borderId="12" xfId="0" applyFont="1" applyBorder="1" applyAlignment="1" applyProtection="1">
      <alignment horizontal="right" indent="1"/>
      <protection hidden="1"/>
    </xf>
    <xf numFmtId="0" fontId="1" fillId="0" borderId="12" xfId="0" applyFont="1" applyBorder="1" applyProtection="1">
      <protection hidden="1"/>
    </xf>
    <xf numFmtId="0" fontId="4" fillId="0" borderId="12" xfId="0" applyFont="1" applyBorder="1" applyAlignment="1" applyProtection="1">
      <alignment horizontal="right" indent="1"/>
      <protection hidden="1"/>
    </xf>
    <xf numFmtId="0" fontId="43" fillId="0" borderId="0" xfId="29">
      <alignment horizontal="left" vertical="center"/>
      <protection hidden="1"/>
    </xf>
    <xf numFmtId="0" fontId="43" fillId="0" borderId="0" xfId="29" applyAlignment="1">
      <alignment horizontal="right" vertical="center"/>
      <protection hidden="1"/>
    </xf>
    <xf numFmtId="0" fontId="62" fillId="0" borderId="0" xfId="31" applyAlignment="1">
      <alignment horizontal="right" vertical="center"/>
    </xf>
    <xf numFmtId="9" fontId="0" fillId="0" borderId="0" xfId="0" applyNumberFormat="1" applyProtection="1">
      <protection hidden="1"/>
    </xf>
    <xf numFmtId="0" fontId="40" fillId="0" borderId="0" xfId="0" applyFont="1" applyProtection="1">
      <protection hidden="1"/>
    </xf>
    <xf numFmtId="0" fontId="14" fillId="0" borderId="0" xfId="45" applyProtection="1">
      <alignment vertical="center"/>
      <protection hidden="1"/>
    </xf>
    <xf numFmtId="0" fontId="0" fillId="12" borderId="0" xfId="0" applyFill="1" applyProtection="1">
      <protection hidden="1"/>
    </xf>
    <xf numFmtId="0" fontId="11" fillId="0" borderId="0" xfId="42" applyAlignment="1" applyProtection="1">
      <alignment horizontal="center" vertical="center"/>
      <protection hidden="1"/>
    </xf>
    <xf numFmtId="0" fontId="4" fillId="13" borderId="0" xfId="0" applyFont="1" applyFill="1" applyProtection="1">
      <protection hidden="1"/>
    </xf>
    <xf numFmtId="0" fontId="41" fillId="0" borderId="13" xfId="0" applyFont="1" applyBorder="1"/>
    <xf numFmtId="0" fontId="12" fillId="0" borderId="0" xfId="0" applyFont="1" applyAlignment="1" applyProtection="1">
      <alignment vertical="center"/>
      <protection hidden="1"/>
    </xf>
    <xf numFmtId="0" fontId="0" fillId="0" borderId="0" xfId="0" applyAlignment="1">
      <alignment vertical="center"/>
    </xf>
    <xf numFmtId="0" fontId="41" fillId="0" borderId="11" xfId="0" applyFont="1" applyBorder="1" applyAlignment="1">
      <alignment vertical="center"/>
    </xf>
    <xf numFmtId="0" fontId="41" fillId="0" borderId="2" xfId="0" applyFont="1" applyBorder="1" applyAlignment="1">
      <alignment vertical="center"/>
    </xf>
    <xf numFmtId="169" fontId="4" fillId="0" borderId="13" xfId="0" applyNumberFormat="1" applyFont="1" applyBorder="1" applyAlignment="1" applyProtection="1">
      <alignment horizontal="right" indent="1"/>
      <protection hidden="1"/>
    </xf>
    <xf numFmtId="0" fontId="8" fillId="0" borderId="0" xfId="0" applyFont="1" applyProtection="1">
      <protection hidden="1"/>
    </xf>
    <xf numFmtId="0" fontId="0" fillId="0" borderId="16"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166" fontId="4" fillId="0" borderId="13" xfId="0" applyNumberFormat="1" applyFont="1" applyBorder="1" applyAlignment="1" applyProtection="1">
      <alignment horizontal="right" indent="1"/>
      <protection hidden="1"/>
    </xf>
    <xf numFmtId="0" fontId="4" fillId="0" borderId="13" xfId="0" applyFont="1" applyBorder="1"/>
    <xf numFmtId="0" fontId="13" fillId="0" borderId="0" xfId="47" applyAlignment="1" applyProtection="1">
      <alignment horizontal="left" vertical="center" wrapText="1"/>
      <protection hidden="1"/>
    </xf>
    <xf numFmtId="0" fontId="31" fillId="19" borderId="0" xfId="9" applyFont="1" applyProtection="1">
      <alignment vertical="center"/>
      <protection hidden="1"/>
    </xf>
    <xf numFmtId="0" fontId="31" fillId="19" borderId="0" xfId="10" applyFont="1" applyAlignment="1" applyProtection="1">
      <alignment vertical="center"/>
      <protection hidden="1"/>
    </xf>
    <xf numFmtId="0" fontId="31" fillId="6" borderId="0" xfId="15" applyFont="1">
      <alignment vertical="center"/>
    </xf>
    <xf numFmtId="0" fontId="37" fillId="0" borderId="12" xfId="44" applyFont="1" applyBorder="1" applyAlignment="1" applyProtection="1">
      <alignment horizontal="left" vertical="center"/>
      <protection hidden="1"/>
    </xf>
    <xf numFmtId="0" fontId="4" fillId="0" borderId="13" xfId="0" applyFont="1" applyBorder="1" applyAlignment="1" applyProtection="1">
      <alignment horizontal="right" vertical="center" indent="1"/>
      <protection hidden="1"/>
    </xf>
    <xf numFmtId="0" fontId="28" fillId="0" borderId="12" xfId="0" applyFont="1" applyBorder="1" applyAlignment="1" applyProtection="1">
      <alignment horizontal="right" vertical="center" indent="1"/>
      <protection hidden="1"/>
    </xf>
    <xf numFmtId="0" fontId="29" fillId="0" borderId="12" xfId="0" applyFont="1" applyBorder="1" applyAlignment="1" applyProtection="1">
      <alignment horizontal="right" vertical="center" indent="1"/>
      <protection hidden="1"/>
    </xf>
    <xf numFmtId="173" fontId="1" fillId="0" borderId="12" xfId="0" applyNumberFormat="1" applyFont="1" applyBorder="1" applyAlignment="1" applyProtection="1">
      <alignment horizontal="right" vertical="center" indent="1"/>
      <protection hidden="1"/>
    </xf>
    <xf numFmtId="0" fontId="4" fillId="0" borderId="13" xfId="0" applyFont="1" applyBorder="1" applyAlignment="1" applyProtection="1">
      <alignment horizontal="right" indent="1"/>
      <protection hidden="1"/>
    </xf>
    <xf numFmtId="0" fontId="52" fillId="20" borderId="0" xfId="12">
      <alignment vertical="center"/>
    </xf>
    <xf numFmtId="0" fontId="31" fillId="20" borderId="0" xfId="12" applyFont="1">
      <alignment vertical="center"/>
    </xf>
    <xf numFmtId="0" fontId="0" fillId="0" borderId="12" xfId="0" applyBorder="1"/>
    <xf numFmtId="0" fontId="62" fillId="0" borderId="0" xfId="31" applyAlignment="1">
      <alignment horizontal="left" vertical="center"/>
    </xf>
    <xf numFmtId="0" fontId="64" fillId="0" borderId="0" xfId="48" applyAlignment="1" applyProtection="1">
      <alignment horizontal="left" vertical="center" wrapText="1"/>
      <protection hidden="1"/>
    </xf>
    <xf numFmtId="0" fontId="0" fillId="0" borderId="13" xfId="0" applyBorder="1" applyAlignment="1" applyProtection="1">
      <alignment horizontal="center" vertical="center"/>
      <protection hidden="1"/>
    </xf>
    <xf numFmtId="0" fontId="64" fillId="0" borderId="13" xfId="38" applyBorder="1" applyProtection="1">
      <alignment horizontal="center" vertical="center"/>
      <protection hidden="1"/>
    </xf>
    <xf numFmtId="0" fontId="43" fillId="0" borderId="0" xfId="29" applyAlignment="1">
      <alignment vertical="center"/>
      <protection hidden="1"/>
    </xf>
    <xf numFmtId="0" fontId="52" fillId="19" borderId="0" xfId="9" applyAlignment="1">
      <alignment horizontal="left" vertical="center"/>
    </xf>
    <xf numFmtId="0" fontId="60" fillId="0" borderId="0" xfId="25" applyAlignment="1">
      <alignment horizontal="left" vertical="center"/>
    </xf>
    <xf numFmtId="0" fontId="10" fillId="22" borderId="0" xfId="33" applyFont="1" applyAlignment="1">
      <alignment horizontal="left" vertical="center"/>
    </xf>
    <xf numFmtId="0" fontId="61" fillId="0" borderId="0" xfId="26" applyAlignment="1">
      <alignment horizontal="left" vertical="center"/>
    </xf>
    <xf numFmtId="0" fontId="52" fillId="6" borderId="0" xfId="15" applyAlignment="1">
      <alignment horizontal="left" vertical="center"/>
    </xf>
    <xf numFmtId="0" fontId="52" fillId="20" borderId="0" xfId="12" applyAlignment="1">
      <alignment horizontal="left" vertical="center"/>
    </xf>
    <xf numFmtId="166" fontId="50" fillId="23" borderId="0" xfId="34" applyAlignment="1">
      <alignment horizontal="left" vertical="center"/>
    </xf>
    <xf numFmtId="166" fontId="50" fillId="23" borderId="0" xfId="35" applyAlignment="1">
      <alignment horizontal="left" vertical="center"/>
    </xf>
    <xf numFmtId="0" fontId="56" fillId="21" borderId="1" xfId="18" applyAlignment="1">
      <alignment horizontal="left" vertical="center"/>
    </xf>
    <xf numFmtId="0" fontId="59" fillId="0" borderId="0" xfId="23" applyAlignment="1">
      <alignment horizontal="left" vertical="center"/>
    </xf>
    <xf numFmtId="0" fontId="55" fillId="0" borderId="0" xfId="20" applyAlignment="1">
      <alignment horizontal="left" vertical="center"/>
    </xf>
    <xf numFmtId="0" fontId="65" fillId="0" borderId="0" xfId="40" applyAlignment="1">
      <alignment horizontal="left" vertical="center"/>
    </xf>
    <xf numFmtId="0" fontId="66" fillId="0" borderId="0" xfId="43" applyAlignment="1">
      <alignment horizontal="left" vertical="center"/>
    </xf>
    <xf numFmtId="0" fontId="67" fillId="0" borderId="0" xfId="46" applyAlignment="1">
      <alignment horizontal="left" vertical="center"/>
    </xf>
    <xf numFmtId="0" fontId="64" fillId="0" borderId="0" xfId="38" applyAlignment="1">
      <alignment horizontal="left" vertical="center"/>
    </xf>
    <xf numFmtId="0" fontId="51" fillId="18" borderId="0" xfId="6" applyAlignment="1">
      <alignment horizontal="left" vertical="center" wrapText="1"/>
    </xf>
    <xf numFmtId="3" fontId="50" fillId="17" borderId="0" xfId="1" applyAlignment="1">
      <alignment horizontal="left" vertical="center"/>
    </xf>
    <xf numFmtId="0" fontId="58" fillId="0" borderId="0" xfId="22" applyAlignment="1">
      <alignment horizontal="left" vertical="center"/>
    </xf>
    <xf numFmtId="0" fontId="0" fillId="0" borderId="0" xfId="0" applyAlignment="1">
      <alignment horizontal="left" vertical="center"/>
    </xf>
    <xf numFmtId="0" fontId="0" fillId="0" borderId="0" xfId="0" quotePrefix="1" applyAlignment="1">
      <alignment horizontal="left" vertical="center"/>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0" fillId="0" borderId="37" xfId="0"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38" xfId="0" applyBorder="1" applyAlignment="1">
      <alignment horizontal="left" vertical="center" wrapText="1"/>
    </xf>
    <xf numFmtId="0" fontId="0" fillId="0" borderId="11" xfId="0" applyBorder="1" applyAlignment="1">
      <alignment horizontal="left" vertical="center"/>
    </xf>
    <xf numFmtId="0" fontId="0" fillId="0" borderId="2" xfId="0" applyBorder="1" applyAlignment="1">
      <alignment horizontal="left" vertical="center"/>
    </xf>
    <xf numFmtId="0" fontId="0" fillId="0" borderId="17" xfId="0" applyBorder="1" applyAlignment="1">
      <alignment horizontal="left" vertical="center"/>
    </xf>
    <xf numFmtId="0" fontId="0" fillId="0" borderId="3" xfId="0"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15" xfId="0" applyFont="1" applyBorder="1" applyAlignment="1">
      <alignment horizontal="left" vertical="center"/>
    </xf>
    <xf numFmtId="0" fontId="38" fillId="15" borderId="7" xfId="0" applyFont="1" applyFill="1" applyBorder="1" applyAlignment="1">
      <alignment horizontal="left" vertical="center"/>
    </xf>
    <xf numFmtId="0" fontId="38" fillId="15" borderId="7" xfId="0" applyFont="1" applyFill="1" applyBorder="1" applyAlignment="1">
      <alignment horizontal="left" vertical="center" wrapText="1"/>
    </xf>
    <xf numFmtId="0" fontId="38" fillId="15" borderId="5" xfId="0" applyFont="1" applyFill="1" applyBorder="1" applyAlignment="1">
      <alignment horizontal="left" vertical="center"/>
    </xf>
    <xf numFmtId="0" fontId="38" fillId="15" borderId="30" xfId="0" applyFont="1" applyFill="1" applyBorder="1" applyAlignment="1">
      <alignment horizontal="left" vertical="center"/>
    </xf>
    <xf numFmtId="0" fontId="0" fillId="15" borderId="6" xfId="0" applyFill="1" applyBorder="1" applyAlignment="1">
      <alignment horizontal="left" vertical="center"/>
    </xf>
    <xf numFmtId="0" fontId="0" fillId="0" borderId="0" xfId="0" applyAlignment="1">
      <alignment horizontal="left" vertical="center" wrapText="1"/>
    </xf>
    <xf numFmtId="0" fontId="38" fillId="15" borderId="42" xfId="0" applyFont="1" applyFill="1" applyBorder="1" applyAlignment="1">
      <alignment horizontal="left" vertical="center"/>
    </xf>
    <xf numFmtId="0" fontId="38" fillId="15" borderId="6" xfId="0" applyFont="1" applyFill="1" applyBorder="1" applyAlignment="1">
      <alignment horizontal="left" vertical="center"/>
    </xf>
    <xf numFmtId="0" fontId="49" fillId="22" borderId="0" xfId="33" applyFont="1" applyAlignment="1">
      <alignment horizontal="right" vertical="center"/>
    </xf>
    <xf numFmtId="0" fontId="49" fillId="20" borderId="0" xfId="12" applyFont="1" applyAlignment="1" applyProtection="1">
      <alignment horizontal="right" vertical="center"/>
      <protection hidden="1"/>
    </xf>
    <xf numFmtId="0" fontId="49" fillId="6" borderId="0" xfId="16" applyFont="1" applyAlignment="1" applyProtection="1">
      <alignment horizontal="right" vertical="center"/>
      <protection hidden="1"/>
    </xf>
    <xf numFmtId="0" fontId="49" fillId="6" borderId="0" xfId="15" applyFont="1" applyAlignment="1">
      <alignment horizontal="right" vertical="center"/>
    </xf>
    <xf numFmtId="0" fontId="49" fillId="19" borderId="0" xfId="9" applyFont="1" applyAlignment="1" applyProtection="1">
      <alignment horizontal="right" vertical="center"/>
      <protection hidden="1"/>
    </xf>
    <xf numFmtId="0" fontId="49" fillId="19" borderId="0" xfId="10" applyFont="1" applyAlignment="1" applyProtection="1">
      <alignment horizontal="right"/>
      <protection hidden="1"/>
    </xf>
    <xf numFmtId="0" fontId="49" fillId="20" borderId="0" xfId="12" applyFont="1" applyAlignment="1">
      <alignment horizontal="right" vertical="center"/>
    </xf>
    <xf numFmtId="0" fontId="28" fillId="0" borderId="0" xfId="0" applyFont="1" applyAlignment="1" applyProtection="1">
      <alignment horizontal="right"/>
      <protection hidden="1"/>
    </xf>
    <xf numFmtId="0" fontId="0" fillId="0" borderId="5" xfId="0" applyBorder="1" applyAlignment="1">
      <alignment horizontal="center" vertical="center"/>
    </xf>
    <xf numFmtId="0" fontId="62" fillId="0" borderId="0" xfId="31" applyAlignment="1" applyProtection="1">
      <alignment horizontal="left" vertical="center"/>
      <protection hidden="1"/>
    </xf>
    <xf numFmtId="0" fontId="39" fillId="0" borderId="0" xfId="31" applyFont="1" applyProtection="1">
      <alignment vertical="center"/>
      <protection hidden="1"/>
    </xf>
    <xf numFmtId="0" fontId="45" fillId="0" borderId="0" xfId="0" applyFont="1" applyAlignment="1" applyProtection="1">
      <alignment vertical="center" wrapText="1"/>
      <protection hidden="1"/>
    </xf>
    <xf numFmtId="0" fontId="68" fillId="0" borderId="0" xfId="0" applyFont="1" applyProtection="1">
      <protection hidden="1"/>
    </xf>
    <xf numFmtId="0" fontId="0" fillId="0" borderId="62" xfId="0" applyBorder="1" applyProtection="1">
      <protection hidden="1"/>
    </xf>
    <xf numFmtId="0" fontId="0" fillId="0" borderId="63" xfId="0" applyBorder="1" applyProtection="1">
      <protection hidden="1"/>
    </xf>
    <xf numFmtId="0" fontId="0" fillId="0" borderId="64" xfId="0" applyBorder="1" applyProtection="1">
      <protection hidden="1"/>
    </xf>
    <xf numFmtId="0" fontId="45" fillId="0" borderId="64" xfId="0" applyFont="1" applyBorder="1" applyAlignment="1" applyProtection="1">
      <alignment vertical="center" wrapText="1"/>
      <protection hidden="1"/>
    </xf>
    <xf numFmtId="0" fontId="0" fillId="0" borderId="65" xfId="0" applyBorder="1" applyProtection="1">
      <protection hidden="1"/>
    </xf>
    <xf numFmtId="0" fontId="0" fillId="0" borderId="69" xfId="0" applyBorder="1" applyProtection="1">
      <protection hidden="1"/>
    </xf>
    <xf numFmtId="0" fontId="0" fillId="0" borderId="70" xfId="0" applyBorder="1" applyProtection="1">
      <protection hidden="1"/>
    </xf>
    <xf numFmtId="0" fontId="0" fillId="0" borderId="66" xfId="0" applyBorder="1" applyProtection="1">
      <protection hidden="1"/>
    </xf>
    <xf numFmtId="0" fontId="0" fillId="0" borderId="68" xfId="0" applyBorder="1" applyProtection="1">
      <protection hidden="1"/>
    </xf>
    <xf numFmtId="0" fontId="45" fillId="0" borderId="62" xfId="0" applyFont="1" applyBorder="1" applyAlignment="1" applyProtection="1">
      <alignment vertical="center" wrapText="1"/>
      <protection hidden="1"/>
    </xf>
    <xf numFmtId="0" fontId="0" fillId="0" borderId="71" xfId="0" applyBorder="1" applyProtection="1">
      <protection hidden="1"/>
    </xf>
    <xf numFmtId="0" fontId="0" fillId="0" borderId="16"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center"/>
    </xf>
    <xf numFmtId="0" fontId="33" fillId="15" borderId="30" xfId="0" applyFont="1" applyFill="1" applyBorder="1" applyAlignment="1">
      <alignment horizontal="left" vertical="center"/>
    </xf>
    <xf numFmtId="0" fontId="0" fillId="15" borderId="42" xfId="0" applyFill="1" applyBorder="1" applyAlignment="1">
      <alignment horizontal="left" vertical="center"/>
    </xf>
    <xf numFmtId="0" fontId="70" fillId="0" borderId="0" xfId="0" applyFont="1" applyAlignment="1" applyProtection="1">
      <alignment vertical="center" wrapText="1"/>
      <protection hidden="1"/>
    </xf>
    <xf numFmtId="0" fontId="0" fillId="26" borderId="81" xfId="0" applyFill="1" applyBorder="1" applyProtection="1">
      <protection hidden="1"/>
    </xf>
    <xf numFmtId="0" fontId="5" fillId="26" borderId="81" xfId="0" applyFont="1" applyFill="1" applyBorder="1" applyProtection="1">
      <protection hidden="1"/>
    </xf>
    <xf numFmtId="0" fontId="33" fillId="26" borderId="81" xfId="0" applyFont="1" applyFill="1" applyBorder="1" applyProtection="1">
      <protection hidden="1"/>
    </xf>
    <xf numFmtId="0" fontId="9" fillId="0" borderId="0" xfId="0" applyFont="1" applyAlignment="1" applyProtection="1">
      <alignment vertical="center"/>
      <protection hidden="1"/>
    </xf>
    <xf numFmtId="176" fontId="0" fillId="0" borderId="0" xfId="0" applyNumberFormat="1" applyProtection="1">
      <protection hidden="1"/>
    </xf>
    <xf numFmtId="0" fontId="71" fillId="0" borderId="0" xfId="31" applyFont="1" applyAlignment="1">
      <alignment vertical="center" wrapText="1"/>
    </xf>
    <xf numFmtId="0" fontId="71" fillId="0" borderId="0" xfId="0" applyFont="1" applyAlignment="1" applyProtection="1">
      <alignment vertical="center" wrapText="1"/>
      <protection hidden="1"/>
    </xf>
    <xf numFmtId="0" fontId="50" fillId="0" borderId="0" xfId="0" applyFont="1"/>
    <xf numFmtId="0" fontId="50" fillId="0" borderId="0" xfId="0" applyFont="1" applyProtection="1">
      <protection hidden="1"/>
    </xf>
    <xf numFmtId="0" fontId="0" fillId="18" borderId="0" xfId="0" applyFill="1" applyAlignment="1" applyProtection="1">
      <alignment vertical="center"/>
      <protection hidden="1"/>
    </xf>
    <xf numFmtId="0" fontId="0" fillId="18" borderId="0" xfId="0" applyFill="1" applyAlignment="1" applyProtection="1">
      <alignment horizontal="right" vertical="center"/>
      <protection hidden="1"/>
    </xf>
    <xf numFmtId="0" fontId="0" fillId="0" borderId="93" xfId="0" applyBorder="1"/>
    <xf numFmtId="0" fontId="39" fillId="0" borderId="0" xfId="31" applyFont="1" applyAlignment="1" applyProtection="1">
      <alignment vertical="center" wrapText="1"/>
      <protection hidden="1"/>
    </xf>
    <xf numFmtId="177" fontId="0" fillId="0" borderId="0" xfId="0" applyNumberFormat="1" applyProtection="1">
      <protection hidden="1"/>
    </xf>
    <xf numFmtId="166" fontId="50" fillId="23" borderId="0" xfId="34" applyProtection="1">
      <alignment horizontal="right" vertical="center" indent="1"/>
      <protection hidden="1"/>
    </xf>
    <xf numFmtId="169" fontId="0" fillId="7" borderId="0" xfId="0" applyNumberFormat="1" applyFill="1" applyAlignment="1">
      <alignment horizontal="center"/>
    </xf>
    <xf numFmtId="0" fontId="0" fillId="7" borderId="0" xfId="0" applyFill="1" applyAlignment="1">
      <alignment horizontal="center"/>
    </xf>
    <xf numFmtId="166" fontId="0" fillId="0" borderId="94" xfId="0" applyNumberFormat="1" applyBorder="1" applyAlignment="1">
      <alignment horizontal="center"/>
    </xf>
    <xf numFmtId="166" fontId="0" fillId="0" borderId="95" xfId="0" applyNumberFormat="1" applyBorder="1" applyAlignment="1">
      <alignment horizontal="center"/>
    </xf>
    <xf numFmtId="0" fontId="0" fillId="0" borderId="0" xfId="0" quotePrefix="1" applyProtection="1">
      <protection hidden="1"/>
    </xf>
    <xf numFmtId="0" fontId="0" fillId="0" borderId="90" xfId="0" applyBorder="1" applyProtection="1">
      <protection hidden="1"/>
    </xf>
    <xf numFmtId="0" fontId="0" fillId="0" borderId="92" xfId="0" applyBorder="1" applyProtection="1">
      <protection hidden="1"/>
    </xf>
    <xf numFmtId="0" fontId="0" fillId="0" borderId="93" xfId="0" applyBorder="1" applyProtection="1">
      <protection hidden="1"/>
    </xf>
    <xf numFmtId="0" fontId="0" fillId="0" borderId="94" xfId="0" applyBorder="1" applyProtection="1">
      <protection hidden="1"/>
    </xf>
    <xf numFmtId="0" fontId="0" fillId="0" borderId="95" xfId="0" applyBorder="1" applyProtection="1">
      <protection hidden="1"/>
    </xf>
    <xf numFmtId="0" fontId="24" fillId="31" borderId="109" xfId="49">
      <alignment vertical="center"/>
    </xf>
    <xf numFmtId="0" fontId="8" fillId="0" borderId="0" xfId="38" applyFont="1" applyAlignment="1" applyProtection="1">
      <alignment vertical="center" wrapText="1"/>
      <protection hidden="1"/>
    </xf>
    <xf numFmtId="0" fontId="35" fillId="0" borderId="0" xfId="38" applyFont="1" applyAlignment="1" applyProtection="1">
      <alignment vertical="center"/>
      <protection hidden="1"/>
    </xf>
    <xf numFmtId="0" fontId="64" fillId="0" borderId="121" xfId="38" applyBorder="1" applyAlignment="1" applyProtection="1">
      <alignment vertical="center"/>
      <protection hidden="1"/>
    </xf>
    <xf numFmtId="0" fontId="0" fillId="0" borderId="120" xfId="0" applyBorder="1" applyProtection="1">
      <protection hidden="1"/>
    </xf>
    <xf numFmtId="0" fontId="0" fillId="0" borderId="121" xfId="0" applyBorder="1" applyProtection="1">
      <protection hidden="1"/>
    </xf>
    <xf numFmtId="0" fontId="4" fillId="0" borderId="121" xfId="0" applyFont="1" applyBorder="1" applyAlignment="1" applyProtection="1">
      <alignment wrapText="1"/>
      <protection hidden="1"/>
    </xf>
    <xf numFmtId="166" fontId="0" fillId="0" borderId="121" xfId="0" applyNumberFormat="1" applyBorder="1" applyProtection="1">
      <protection hidden="1"/>
    </xf>
    <xf numFmtId="0" fontId="4" fillId="0" borderId="121" xfId="0" applyFont="1" applyBorder="1" applyProtection="1">
      <protection hidden="1"/>
    </xf>
    <xf numFmtId="166" fontId="0" fillId="0" borderId="103" xfId="0" applyNumberFormat="1" applyBorder="1" applyAlignment="1" applyProtection="1">
      <alignment horizontal="right" indent="1"/>
      <protection hidden="1"/>
    </xf>
    <xf numFmtId="166" fontId="0" fillId="0" borderId="49" xfId="0" applyNumberFormat="1" applyBorder="1" applyAlignment="1" applyProtection="1">
      <alignment horizontal="right" indent="1"/>
      <protection hidden="1"/>
    </xf>
    <xf numFmtId="0" fontId="8" fillId="0" borderId="0" xfId="38" applyFont="1" applyAlignment="1" applyProtection="1">
      <alignment vertical="center"/>
      <protection hidden="1"/>
    </xf>
    <xf numFmtId="0" fontId="64" fillId="0" borderId="0" xfId="38" applyAlignment="1" applyProtection="1">
      <alignment vertical="center"/>
      <protection hidden="1"/>
    </xf>
    <xf numFmtId="0" fontId="0" fillId="0" borderId="0" xfId="0" applyAlignment="1" applyProtection="1">
      <alignment horizontal="left" vertical="top" wrapText="1"/>
      <protection hidden="1"/>
    </xf>
    <xf numFmtId="0" fontId="14" fillId="0" borderId="11" xfId="45" applyBorder="1" applyAlignment="1" applyProtection="1">
      <alignment horizontal="left" vertical="center"/>
      <protection hidden="1"/>
    </xf>
    <xf numFmtId="0" fontId="66" fillId="0" borderId="0" xfId="43" applyAlignment="1" applyProtection="1">
      <alignment horizontal="left" vertical="center"/>
      <protection hidden="1"/>
    </xf>
    <xf numFmtId="0" fontId="0" fillId="0" borderId="0" xfId="0" applyAlignment="1" applyProtection="1">
      <alignment horizontal="center"/>
      <protection hidden="1"/>
    </xf>
    <xf numFmtId="0" fontId="63" fillId="0" borderId="0" xfId="32" applyProtection="1">
      <alignment vertical="center"/>
      <protection hidden="1"/>
    </xf>
    <xf numFmtId="0" fontId="52" fillId="22" borderId="0" xfId="33" applyProtection="1">
      <alignment vertical="center"/>
      <protection hidden="1"/>
    </xf>
    <xf numFmtId="0" fontId="31" fillId="22" borderId="0" xfId="33" applyFont="1" applyProtection="1">
      <alignment vertical="center"/>
      <protection hidden="1"/>
    </xf>
    <xf numFmtId="0" fontId="52" fillId="22" borderId="0" xfId="33" applyAlignment="1" applyProtection="1">
      <alignment horizontal="right" vertical="center"/>
      <protection hidden="1"/>
    </xf>
    <xf numFmtId="0" fontId="49" fillId="22" borderId="0" xfId="33" applyFont="1" applyAlignment="1" applyProtection="1">
      <alignment horizontal="right" vertical="center"/>
      <protection hidden="1"/>
    </xf>
    <xf numFmtId="0" fontId="47" fillId="0" borderId="0" xfId="30" applyAlignment="1">
      <alignment horizontal="right" vertical="center"/>
      <protection hidden="1"/>
    </xf>
    <xf numFmtId="0" fontId="47" fillId="0" borderId="0" xfId="30">
      <alignment vertical="center"/>
      <protection hidden="1"/>
    </xf>
    <xf numFmtId="0" fontId="41" fillId="0" borderId="0" xfId="0" applyFont="1" applyProtection="1">
      <protection hidden="1"/>
    </xf>
    <xf numFmtId="0" fontId="5" fillId="22" borderId="0" xfId="33" applyFont="1" applyProtection="1">
      <alignment vertical="center"/>
      <protection hidden="1"/>
    </xf>
    <xf numFmtId="0" fontId="9" fillId="0" borderId="0" xfId="32" applyFont="1" applyAlignment="1" applyProtection="1">
      <alignment horizontal="right" vertical="center"/>
      <protection hidden="1"/>
    </xf>
    <xf numFmtId="0" fontId="6" fillId="0" borderId="0" xfId="0" applyFont="1" applyProtection="1">
      <protection hidden="1"/>
    </xf>
    <xf numFmtId="0" fontId="30" fillId="22" borderId="0" xfId="33" applyFont="1" applyProtection="1">
      <alignment vertical="center"/>
      <protection hidden="1"/>
    </xf>
    <xf numFmtId="0" fontId="41" fillId="0" borderId="11" xfId="0" applyFont="1" applyBorder="1" applyProtection="1">
      <protection hidden="1"/>
    </xf>
    <xf numFmtId="0" fontId="41" fillId="0" borderId="2" xfId="0" applyFont="1" applyBorder="1" applyProtection="1">
      <protection hidden="1"/>
    </xf>
    <xf numFmtId="0" fontId="41" fillId="0" borderId="17" xfId="0" applyFont="1" applyBorder="1" applyProtection="1">
      <protection hidden="1"/>
    </xf>
    <xf numFmtId="0" fontId="41" fillId="0" borderId="15" xfId="0" applyFont="1" applyBorder="1" applyProtection="1">
      <protection hidden="1"/>
    </xf>
    <xf numFmtId="0" fontId="41" fillId="0" borderId="3" xfId="0" applyFont="1" applyBorder="1" applyProtection="1">
      <protection hidden="1"/>
    </xf>
    <xf numFmtId="0" fontId="29" fillId="0" borderId="0" xfId="0" applyFont="1" applyProtection="1">
      <protection hidden="1"/>
    </xf>
    <xf numFmtId="0" fontId="41" fillId="0" borderId="10" xfId="0" applyFont="1" applyBorder="1" applyProtection="1">
      <protection hidden="1"/>
    </xf>
    <xf numFmtId="0" fontId="0" fillId="18" borderId="16" xfId="0" applyFill="1" applyBorder="1" applyProtection="1">
      <protection hidden="1"/>
    </xf>
    <xf numFmtId="0" fontId="0" fillId="18" borderId="10" xfId="0" applyFill="1" applyBorder="1" applyProtection="1">
      <protection hidden="1"/>
    </xf>
    <xf numFmtId="0" fontId="0" fillId="18" borderId="4" xfId="0" applyFill="1" applyBorder="1" applyProtection="1">
      <protection hidden="1"/>
    </xf>
    <xf numFmtId="0" fontId="41" fillId="0" borderId="11" xfId="0" applyFont="1" applyBorder="1" applyAlignment="1" applyProtection="1">
      <alignment vertical="center"/>
      <protection hidden="1"/>
    </xf>
    <xf numFmtId="0" fontId="41" fillId="0" borderId="2" xfId="0" applyFont="1" applyBorder="1" applyAlignment="1" applyProtection="1">
      <alignment vertical="center"/>
      <protection hidden="1"/>
    </xf>
    <xf numFmtId="0" fontId="0" fillId="0" borderId="120" xfId="0" applyBorder="1" applyAlignment="1" applyProtection="1">
      <alignment vertical="center"/>
      <protection hidden="1"/>
    </xf>
    <xf numFmtId="0" fontId="0" fillId="0" borderId="121" xfId="0" applyBorder="1" applyAlignment="1" applyProtection="1">
      <alignment vertical="center"/>
      <protection hidden="1"/>
    </xf>
    <xf numFmtId="0" fontId="68" fillId="0" borderId="0" xfId="0" applyFont="1" applyAlignment="1" applyProtection="1">
      <alignment vertical="top" wrapText="1"/>
      <protection hidden="1"/>
    </xf>
    <xf numFmtId="0" fontId="41" fillId="0" borderId="120" xfId="0" applyFont="1" applyBorder="1" applyProtection="1">
      <protection hidden="1"/>
    </xf>
    <xf numFmtId="0" fontId="41" fillId="0" borderId="121" xfId="0" applyFont="1" applyBorder="1" applyProtection="1">
      <protection hidden="1"/>
    </xf>
    <xf numFmtId="0" fontId="0" fillId="0" borderId="50" xfId="0" applyBorder="1" applyProtection="1">
      <protection hidden="1"/>
    </xf>
    <xf numFmtId="0" fontId="0" fillId="0" borderId="51" xfId="0" applyBorder="1" applyProtection="1">
      <protection hidden="1"/>
    </xf>
    <xf numFmtId="0" fontId="41" fillId="0" borderId="93" xfId="0" applyFont="1" applyBorder="1" applyProtection="1">
      <protection hidden="1"/>
    </xf>
    <xf numFmtId="0" fontId="41" fillId="0" borderId="94" xfId="0" applyFont="1" applyBorder="1" applyProtection="1">
      <protection hidden="1"/>
    </xf>
    <xf numFmtId="0" fontId="41" fillId="0" borderId="95" xfId="0" applyFont="1" applyBorder="1" applyProtection="1">
      <protection hidden="1"/>
    </xf>
    <xf numFmtId="0" fontId="0" fillId="0" borderId="102" xfId="0" applyBorder="1" applyProtection="1">
      <protection hidden="1"/>
    </xf>
    <xf numFmtId="0" fontId="9" fillId="0" borderId="0" xfId="32" applyFont="1" applyProtection="1">
      <alignment vertical="center"/>
      <protection hidden="1"/>
    </xf>
    <xf numFmtId="0" fontId="0" fillId="0" borderId="91" xfId="0" applyBorder="1" applyProtection="1">
      <protection hidden="1"/>
    </xf>
    <xf numFmtId="0" fontId="48" fillId="0" borderId="0" xfId="0" applyFont="1" applyProtection="1">
      <protection hidden="1"/>
    </xf>
    <xf numFmtId="0" fontId="1" fillId="0" borderId="0" xfId="0" applyFont="1" applyProtection="1">
      <protection hidden="1"/>
    </xf>
    <xf numFmtId="0" fontId="20" fillId="0" borderId="0" xfId="0" applyFont="1" applyProtection="1">
      <protection hidden="1"/>
    </xf>
    <xf numFmtId="0" fontId="34" fillId="0" borderId="0" xfId="32" applyFont="1" applyAlignment="1" applyProtection="1">
      <alignment vertical="center" wrapText="1"/>
      <protection hidden="1"/>
    </xf>
    <xf numFmtId="0" fontId="9" fillId="0" borderId="0" xfId="0" applyFont="1" applyProtection="1">
      <protection hidden="1"/>
    </xf>
    <xf numFmtId="175" fontId="0" fillId="0" borderId="0" xfId="0" applyNumberFormat="1" applyProtection="1">
      <protection hidden="1"/>
    </xf>
    <xf numFmtId="0" fontId="32" fillId="0" borderId="0" xfId="0" applyFont="1" applyProtection="1">
      <protection hidden="1"/>
    </xf>
    <xf numFmtId="175" fontId="0" fillId="0" borderId="0" xfId="0" applyNumberForma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Alignment="1" applyProtection="1">
      <alignment horizontal="center"/>
      <protection hidden="1"/>
    </xf>
    <xf numFmtId="0" fontId="41" fillId="0" borderId="13" xfId="0" applyFont="1" applyBorder="1" applyProtection="1">
      <protection hidden="1"/>
    </xf>
    <xf numFmtId="0" fontId="41" fillId="0" borderId="13" xfId="0" applyFont="1" applyBorder="1" applyAlignment="1" applyProtection="1">
      <alignment horizontal="center"/>
      <protection hidden="1"/>
    </xf>
    <xf numFmtId="0" fontId="4" fillId="0" borderId="12" xfId="0" applyFont="1" applyBorder="1" applyProtection="1">
      <protection hidden="1"/>
    </xf>
    <xf numFmtId="0" fontId="52" fillId="0" borderId="0" xfId="33" applyFill="1" applyProtection="1">
      <alignment vertical="center"/>
      <protection hidden="1"/>
    </xf>
    <xf numFmtId="0" fontId="98" fillId="0" borderId="0" xfId="0" applyFont="1" applyAlignment="1" applyProtection="1">
      <alignment horizontal="left" vertical="top" wrapText="1"/>
      <protection locked="0"/>
    </xf>
    <xf numFmtId="0" fontId="0" fillId="0" borderId="0" xfId="0" applyProtection="1">
      <protection locked="0"/>
    </xf>
    <xf numFmtId="0" fontId="0" fillId="0" borderId="11" xfId="0" applyBorder="1" applyProtection="1">
      <protection locked="0"/>
    </xf>
    <xf numFmtId="9" fontId="0" fillId="0" borderId="2" xfId="0" applyNumberFormat="1" applyBorder="1" applyProtection="1">
      <protection locked="0"/>
    </xf>
    <xf numFmtId="0" fontId="76" fillId="0" borderId="30" xfId="0" applyFont="1" applyBorder="1" applyAlignment="1" applyProtection="1">
      <alignment horizontal="right"/>
      <protection locked="0"/>
    </xf>
    <xf numFmtId="0" fontId="0" fillId="0" borderId="6" xfId="0" applyBorder="1" applyProtection="1">
      <protection locked="0"/>
    </xf>
    <xf numFmtId="0" fontId="0" fillId="0" borderId="17" xfId="0" applyBorder="1" applyProtection="1">
      <protection locked="0"/>
    </xf>
    <xf numFmtId="9" fontId="0" fillId="0" borderId="3" xfId="0" applyNumberFormat="1" applyBorder="1" applyProtection="1">
      <protection locked="0"/>
    </xf>
    <xf numFmtId="9" fontId="76" fillId="0" borderId="30" xfId="0" applyNumberFormat="1" applyFont="1" applyBorder="1" applyProtection="1">
      <protection locked="0"/>
    </xf>
    <xf numFmtId="0" fontId="77" fillId="22" borderId="0" xfId="33" applyFont="1" applyProtection="1">
      <alignment vertical="center"/>
      <protection locked="0"/>
    </xf>
    <xf numFmtId="0" fontId="52" fillId="22" borderId="0" xfId="33" applyProtection="1">
      <alignment vertical="center"/>
      <protection locked="0"/>
    </xf>
    <xf numFmtId="0" fontId="90" fillId="0" borderId="22" xfId="0" applyFont="1" applyBorder="1" applyProtection="1">
      <protection locked="0"/>
    </xf>
    <xf numFmtId="0" fontId="90" fillId="0" borderId="19" xfId="0" applyFont="1" applyBorder="1" applyProtection="1">
      <protection locked="0"/>
    </xf>
    <xf numFmtId="0" fontId="90" fillId="0" borderId="26" xfId="0" applyFont="1" applyBorder="1" applyProtection="1">
      <protection locked="0"/>
    </xf>
    <xf numFmtId="0" fontId="90" fillId="0" borderId="31" xfId="0" applyFont="1" applyBorder="1" applyProtection="1">
      <protection locked="0"/>
    </xf>
    <xf numFmtId="0" fontId="90" fillId="0" borderId="33" xfId="0" applyFont="1" applyBorder="1" applyProtection="1">
      <protection locked="0"/>
    </xf>
    <xf numFmtId="0" fontId="90" fillId="0" borderId="20" xfId="0" applyFont="1" applyBorder="1" applyProtection="1">
      <protection locked="0"/>
    </xf>
    <xf numFmtId="0" fontId="90" fillId="0" borderId="21" xfId="0" applyFont="1" applyBorder="1" applyProtection="1">
      <protection locked="0"/>
    </xf>
    <xf numFmtId="0" fontId="90" fillId="0" borderId="32" xfId="0" applyFont="1" applyBorder="1" applyProtection="1">
      <protection locked="0"/>
    </xf>
    <xf numFmtId="0" fontId="80" fillId="0" borderId="3" xfId="0" applyFont="1" applyBorder="1" applyAlignment="1" applyProtection="1">
      <alignment horizontal="center"/>
      <protection locked="0"/>
    </xf>
    <xf numFmtId="0" fontId="82" fillId="0" borderId="9" xfId="0" applyFont="1" applyBorder="1" applyAlignment="1" applyProtection="1">
      <alignment horizontal="right" wrapText="1"/>
      <protection locked="0"/>
    </xf>
    <xf numFmtId="0" fontId="83" fillId="0" borderId="3" xfId="0" applyFont="1" applyBorder="1" applyAlignment="1" applyProtection="1">
      <alignment horizontal="center"/>
      <protection locked="0"/>
    </xf>
    <xf numFmtId="0" fontId="83" fillId="0" borderId="15" xfId="0" applyFont="1" applyBorder="1" applyAlignment="1" applyProtection="1">
      <alignment horizontal="center"/>
      <protection locked="0"/>
    </xf>
    <xf numFmtId="0" fontId="83" fillId="0" borderId="9" xfId="0" applyFont="1" applyBorder="1" applyAlignment="1" applyProtection="1">
      <alignment horizontal="center"/>
      <protection locked="0"/>
    </xf>
    <xf numFmtId="0" fontId="82" fillId="0" borderId="9" xfId="0" applyFont="1" applyBorder="1" applyAlignment="1" applyProtection="1">
      <alignment horizontal="left"/>
      <protection locked="0"/>
    </xf>
    <xf numFmtId="0" fontId="84" fillId="0" borderId="0" xfId="21" applyFont="1" applyAlignment="1" applyProtection="1">
      <alignment horizontal="left" vertical="center"/>
      <protection locked="0"/>
    </xf>
    <xf numFmtId="0" fontId="85" fillId="0" borderId="0" xfId="21" applyFont="1" applyAlignment="1" applyProtection="1">
      <alignment horizontal="center" vertical="center"/>
      <protection locked="0"/>
    </xf>
    <xf numFmtId="171" fontId="86" fillId="0" borderId="0" xfId="21" applyNumberFormat="1" applyFont="1" applyAlignment="1" applyProtection="1">
      <alignment horizontal="center"/>
      <protection locked="0"/>
    </xf>
    <xf numFmtId="0" fontId="0" fillId="0" borderId="19" xfId="0" applyBorder="1" applyProtection="1">
      <protection locked="0"/>
    </xf>
    <xf numFmtId="0" fontId="68" fillId="0" borderId="25" xfId="0" applyFont="1" applyBorder="1" applyAlignment="1" applyProtection="1">
      <alignment horizontal="center"/>
      <protection locked="0"/>
    </xf>
    <xf numFmtId="0" fontId="68" fillId="0" borderId="26" xfId="0" applyFont="1" applyBorder="1" applyAlignment="1" applyProtection="1">
      <alignment horizontal="center"/>
      <protection locked="0"/>
    </xf>
    <xf numFmtId="0" fontId="97" fillId="0" borderId="19" xfId="0" applyFont="1" applyBorder="1" applyAlignment="1" applyProtection="1">
      <alignment horizontal="left"/>
      <protection locked="0"/>
    </xf>
    <xf numFmtId="0" fontId="97" fillId="0" borderId="31" xfId="0" applyFont="1" applyBorder="1" applyAlignment="1" applyProtection="1">
      <alignment horizontal="left"/>
      <protection locked="0"/>
    </xf>
    <xf numFmtId="0" fontId="81" fillId="8" borderId="9" xfId="0" applyFont="1" applyFill="1" applyBorder="1" applyAlignment="1" applyProtection="1">
      <alignment horizontal="left"/>
      <protection locked="0"/>
    </xf>
    <xf numFmtId="0" fontId="0" fillId="0" borderId="15" xfId="0" applyBorder="1" applyProtection="1">
      <protection locked="0"/>
    </xf>
    <xf numFmtId="0" fontId="0" fillId="0" borderId="3" xfId="0" applyBorder="1" applyProtection="1">
      <protection locked="0"/>
    </xf>
    <xf numFmtId="0" fontId="0" fillId="0" borderId="16" xfId="0" applyBorder="1" applyProtection="1">
      <protection locked="0"/>
    </xf>
    <xf numFmtId="0" fontId="0" fillId="0" borderId="10" xfId="0" applyBorder="1" applyProtection="1">
      <protection locked="0"/>
    </xf>
    <xf numFmtId="9" fontId="0" fillId="0" borderId="35" xfId="0" applyNumberFormat="1" applyBorder="1" applyAlignment="1" applyProtection="1">
      <alignment horizontal="center"/>
      <protection locked="0"/>
    </xf>
    <xf numFmtId="0" fontId="0" fillId="0" borderId="34" xfId="0" applyBorder="1" applyProtection="1">
      <protection locked="0"/>
    </xf>
    <xf numFmtId="0" fontId="0" fillId="0" borderId="13" xfId="0" applyBorder="1" applyProtection="1">
      <protection locked="0"/>
    </xf>
    <xf numFmtId="9" fontId="0" fillId="0" borderId="26" xfId="0" applyNumberFormat="1" applyBorder="1" applyAlignment="1" applyProtection="1">
      <alignment horizontal="center"/>
      <protection locked="0"/>
    </xf>
    <xf numFmtId="9" fontId="0" fillId="0" borderId="36" xfId="0" applyNumberFormat="1" applyBorder="1" applyAlignment="1" applyProtection="1">
      <alignment horizontal="center"/>
      <protection locked="0"/>
    </xf>
    <xf numFmtId="0" fontId="82" fillId="0" borderId="5" xfId="0" applyFont="1" applyBorder="1" applyAlignment="1" applyProtection="1">
      <alignment wrapText="1"/>
      <protection locked="0"/>
    </xf>
    <xf numFmtId="0" fontId="88" fillId="0" borderId="0" xfId="21" applyFont="1" applyProtection="1">
      <protection locked="0"/>
    </xf>
    <xf numFmtId="0" fontId="87" fillId="0" borderId="0" xfId="21" applyFont="1" applyProtection="1">
      <protection locked="0"/>
    </xf>
    <xf numFmtId="0" fontId="84" fillId="0" borderId="0" xfId="21" applyFont="1" applyAlignment="1" applyProtection="1">
      <alignment horizontal="center" vertical="center"/>
      <protection locked="0"/>
    </xf>
    <xf numFmtId="0" fontId="83" fillId="0" borderId="6" xfId="0" applyFont="1" applyBorder="1" applyProtection="1">
      <protection locked="0"/>
    </xf>
    <xf numFmtId="171" fontId="0" fillId="0" borderId="0" xfId="0" applyNumberFormat="1" applyProtection="1">
      <protection locked="0"/>
    </xf>
    <xf numFmtId="0" fontId="85" fillId="0" borderId="0" xfId="21" applyFont="1" applyAlignment="1" applyProtection="1">
      <alignment vertical="center"/>
      <protection locked="0"/>
    </xf>
    <xf numFmtId="0" fontId="81" fillId="8" borderId="9" xfId="0" applyFont="1" applyFill="1" applyBorder="1" applyAlignment="1" applyProtection="1">
      <alignment horizontal="right"/>
      <protection locked="0"/>
    </xf>
    <xf numFmtId="0" fontId="82" fillId="0" borderId="30" xfId="0" applyFont="1" applyBorder="1" applyAlignment="1" applyProtection="1">
      <alignment horizontal="left"/>
      <protection locked="0"/>
    </xf>
    <xf numFmtId="0" fontId="52" fillId="6" borderId="0" xfId="15" applyProtection="1">
      <alignment vertical="center"/>
      <protection locked="0"/>
    </xf>
    <xf numFmtId="0" fontId="76" fillId="7" borderId="20" xfId="0" applyFont="1" applyFill="1" applyBorder="1" applyAlignment="1" applyProtection="1">
      <alignment horizontal="center" wrapText="1"/>
      <protection locked="0"/>
    </xf>
    <xf numFmtId="0" fontId="76" fillId="7" borderId="21" xfId="0" applyFont="1" applyFill="1" applyBorder="1" applyAlignment="1" applyProtection="1">
      <alignment horizontal="center" wrapText="1"/>
      <protection locked="0"/>
    </xf>
    <xf numFmtId="0" fontId="76" fillId="7" borderId="22" xfId="0" applyFont="1" applyFill="1" applyBorder="1" applyAlignment="1" applyProtection="1">
      <alignment horizontal="center" wrapText="1"/>
      <protection locked="0"/>
    </xf>
    <xf numFmtId="0" fontId="90" fillId="0" borderId="19" xfId="0" applyFont="1" applyBorder="1" applyAlignment="1" applyProtection="1">
      <alignment horizontal="left" vertical="top"/>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90" fillId="0" borderId="23" xfId="0" applyFont="1" applyBorder="1" applyAlignment="1" applyProtection="1">
      <alignment horizontal="left" vertical="top"/>
      <protection locked="0"/>
    </xf>
    <xf numFmtId="0" fontId="0" fillId="0" borderId="27" xfId="0" applyBorder="1" applyAlignment="1" applyProtection="1">
      <alignment horizontal="center"/>
      <protection locked="0"/>
    </xf>
    <xf numFmtId="0" fontId="76" fillId="0" borderId="24" xfId="0" applyFont="1" applyBorder="1" applyAlignment="1" applyProtection="1">
      <alignment horizontal="left" vertical="top"/>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91" fillId="0" borderId="3" xfId="0" applyFont="1" applyBorder="1" applyAlignment="1" applyProtection="1">
      <alignment horizontal="center" vertical="top"/>
      <protection locked="0"/>
    </xf>
    <xf numFmtId="0" fontId="93" fillId="0" borderId="9" xfId="0" applyFont="1" applyBorder="1" applyAlignment="1" applyProtection="1">
      <alignment horizontal="right" vertical="top"/>
      <protection locked="0"/>
    </xf>
    <xf numFmtId="0" fontId="94" fillId="0" borderId="3" xfId="0" applyFont="1" applyBorder="1" applyAlignment="1" applyProtection="1">
      <alignment horizontal="right" vertical="top"/>
      <protection locked="0"/>
    </xf>
    <xf numFmtId="0" fontId="94" fillId="0" borderId="3" xfId="0" applyFont="1" applyBorder="1" applyAlignment="1" applyProtection="1">
      <alignment horizontal="center" vertical="top"/>
      <protection locked="0"/>
    </xf>
    <xf numFmtId="0" fontId="94" fillId="0" borderId="15" xfId="0" applyFont="1" applyBorder="1" applyAlignment="1" applyProtection="1">
      <alignment horizontal="center" vertical="top"/>
      <protection locked="0"/>
    </xf>
    <xf numFmtId="0" fontId="94" fillId="0" borderId="5" xfId="0" applyFont="1" applyBorder="1" applyAlignment="1" applyProtection="1">
      <alignment horizontal="center" vertical="top"/>
      <protection locked="0"/>
    </xf>
    <xf numFmtId="0" fontId="90" fillId="0" borderId="18" xfId="0" applyFont="1" applyBorder="1" applyAlignment="1" applyProtection="1">
      <alignment horizontal="left" vertical="top"/>
      <protection locked="0"/>
    </xf>
    <xf numFmtId="0" fontId="94" fillId="0" borderId="9" xfId="0" applyFont="1" applyBorder="1" applyAlignment="1" applyProtection="1">
      <alignment horizontal="center" vertical="top"/>
      <protection locked="0"/>
    </xf>
    <xf numFmtId="0" fontId="90" fillId="0" borderId="3" xfId="0" applyFont="1" applyBorder="1" applyAlignment="1" applyProtection="1">
      <alignment horizontal="center" vertical="top"/>
      <protection locked="0"/>
    </xf>
    <xf numFmtId="0" fontId="94" fillId="0" borderId="18" xfId="0" applyFont="1" applyBorder="1" applyAlignment="1" applyProtection="1">
      <alignment horizontal="center" vertical="top"/>
      <protection locked="0"/>
    </xf>
    <xf numFmtId="0" fontId="90" fillId="0" borderId="3" xfId="0" applyFont="1" applyBorder="1" applyAlignment="1" applyProtection="1">
      <alignment horizontal="left" vertical="top"/>
      <protection locked="0"/>
    </xf>
    <xf numFmtId="0" fontId="95" fillId="0" borderId="9" xfId="0" applyFont="1" applyBorder="1" applyAlignment="1" applyProtection="1">
      <alignment horizontal="center" vertical="top" wrapText="1"/>
      <protection locked="0"/>
    </xf>
    <xf numFmtId="0" fontId="95" fillId="0" borderId="3" xfId="0" applyFont="1" applyBorder="1" applyAlignment="1" applyProtection="1">
      <alignment horizontal="center" vertical="top" wrapText="1"/>
      <protection locked="0"/>
    </xf>
    <xf numFmtId="0" fontId="90" fillId="0" borderId="9" xfId="0" applyFont="1" applyBorder="1" applyAlignment="1" applyProtection="1">
      <alignment horizontal="left" vertical="center" wrapText="1"/>
      <protection locked="0"/>
    </xf>
    <xf numFmtId="9" fontId="0" fillId="0" borderId="0" xfId="24" applyFont="1" applyProtection="1">
      <protection locked="0"/>
    </xf>
    <xf numFmtId="0" fontId="93" fillId="0" borderId="9" xfId="0" applyFont="1" applyBorder="1" applyAlignment="1" applyProtection="1">
      <alignment horizontal="right" vertical="center" wrapText="1"/>
      <protection locked="0"/>
    </xf>
    <xf numFmtId="167" fontId="93" fillId="0" borderId="3" xfId="24" applyNumberFormat="1" applyFont="1" applyBorder="1" applyAlignment="1" applyProtection="1">
      <alignment horizontal="center" vertical="center" wrapText="1"/>
      <protection locked="0"/>
    </xf>
    <xf numFmtId="0" fontId="93" fillId="0" borderId="98" xfId="0" applyFont="1" applyBorder="1" applyAlignment="1" applyProtection="1">
      <alignment horizontal="right" vertical="center" wrapText="1"/>
      <protection locked="0"/>
    </xf>
    <xf numFmtId="171" fontId="90" fillId="0" borderId="98" xfId="24" applyNumberFormat="1" applyFont="1" applyBorder="1" applyAlignment="1" applyProtection="1">
      <alignment horizontal="center" vertical="center" wrapText="1"/>
      <protection locked="0"/>
    </xf>
    <xf numFmtId="0" fontId="90" fillId="0" borderId="98" xfId="0" applyFont="1" applyBorder="1" applyAlignment="1" applyProtection="1">
      <alignment horizontal="center" vertical="center"/>
      <protection locked="0"/>
    </xf>
    <xf numFmtId="0" fontId="96" fillId="9" borderId="0" xfId="0" applyFont="1" applyFill="1" applyAlignment="1" applyProtection="1">
      <alignment horizontal="center"/>
      <protection locked="0"/>
    </xf>
    <xf numFmtId="0" fontId="52" fillId="19" borderId="0" xfId="9" applyProtection="1">
      <alignment vertical="center"/>
      <protection locked="0"/>
    </xf>
    <xf numFmtId="0" fontId="89" fillId="0" borderId="2" xfId="0" applyFont="1" applyBorder="1" applyAlignment="1" applyProtection="1">
      <alignment horizontal="center" vertical="center" wrapText="1"/>
      <protection locked="0"/>
    </xf>
    <xf numFmtId="0" fontId="90" fillId="0" borderId="2" xfId="0" applyFont="1" applyBorder="1" applyAlignment="1" applyProtection="1">
      <alignment horizontal="right" wrapText="1"/>
      <protection locked="0"/>
    </xf>
    <xf numFmtId="0" fontId="90" fillId="0" borderId="4" xfId="0" applyFont="1" applyBorder="1" applyAlignment="1" applyProtection="1">
      <alignment horizontal="center" wrapText="1"/>
      <protection locked="0"/>
    </xf>
    <xf numFmtId="0" fontId="90" fillId="0" borderId="3" xfId="0" applyFont="1" applyBorder="1" applyAlignment="1" applyProtection="1">
      <alignment horizontal="right" wrapText="1"/>
      <protection locked="0"/>
    </xf>
    <xf numFmtId="0" fontId="90" fillId="0" borderId="3" xfId="0" applyFont="1" applyBorder="1" applyAlignment="1" applyProtection="1">
      <alignment horizontal="center" wrapText="1"/>
      <protection locked="0"/>
    </xf>
    <xf numFmtId="0" fontId="90" fillId="0" borderId="2" xfId="0" applyFont="1" applyBorder="1" applyAlignment="1" applyProtection="1">
      <alignment horizontal="center" wrapText="1"/>
      <protection locked="0"/>
    </xf>
    <xf numFmtId="0" fontId="90" fillId="0" borderId="0" xfId="0" applyFont="1" applyAlignment="1" applyProtection="1">
      <alignment horizontal="right" wrapText="1"/>
      <protection locked="0"/>
    </xf>
    <xf numFmtId="0" fontId="90" fillId="0" borderId="0" xfId="0" applyFont="1" applyAlignment="1" applyProtection="1">
      <alignment horizontal="center" wrapText="1"/>
      <protection locked="0"/>
    </xf>
    <xf numFmtId="0" fontId="90" fillId="0" borderId="7" xfId="0" applyFont="1" applyBorder="1" applyAlignment="1" applyProtection="1">
      <alignment horizontal="justify"/>
      <protection locked="0"/>
    </xf>
    <xf numFmtId="0" fontId="90" fillId="0" borderId="8" xfId="0" applyFont="1" applyBorder="1" applyAlignment="1" applyProtection="1">
      <alignment horizontal="justify"/>
      <protection locked="0"/>
    </xf>
    <xf numFmtId="0" fontId="90" fillId="0" borderId="4" xfId="0" applyFont="1" applyBorder="1" applyAlignment="1" applyProtection="1">
      <alignment horizontal="right" wrapText="1"/>
      <protection locked="0"/>
    </xf>
    <xf numFmtId="0" fontId="90" fillId="0" borderId="9" xfId="0" applyFont="1" applyBorder="1" applyAlignment="1" applyProtection="1">
      <alignment horizontal="justify"/>
      <protection locked="0"/>
    </xf>
    <xf numFmtId="0" fontId="14" fillId="0" borderId="12" xfId="45" applyBorder="1" applyAlignment="1" applyProtection="1">
      <alignment horizontal="left" vertical="center"/>
      <protection hidden="1"/>
    </xf>
    <xf numFmtId="0" fontId="34" fillId="0" borderId="0" xfId="32" applyFont="1" applyProtection="1">
      <alignment vertical="center"/>
      <protection hidden="1"/>
    </xf>
    <xf numFmtId="0" fontId="4" fillId="0" borderId="0" xfId="0" applyFont="1" applyAlignment="1" applyProtection="1">
      <alignment vertical="center" wrapText="1"/>
      <protection hidden="1"/>
    </xf>
    <xf numFmtId="0" fontId="0" fillId="0" borderId="129" xfId="0" applyBorder="1" applyProtection="1">
      <protection hidden="1"/>
    </xf>
    <xf numFmtId="166" fontId="1" fillId="0" borderId="13" xfId="37" applyFill="1" applyBorder="1" applyAlignment="1" applyProtection="1">
      <alignment vertical="center"/>
      <protection locked="0"/>
    </xf>
    <xf numFmtId="4" fontId="0" fillId="0" borderId="0" xfId="0" applyNumberFormat="1" applyProtection="1">
      <protection hidden="1"/>
    </xf>
    <xf numFmtId="3" fontId="0" fillId="0" borderId="0" xfId="0" applyNumberFormat="1" applyProtection="1">
      <protection hidden="1"/>
    </xf>
    <xf numFmtId="0" fontId="41" fillId="0" borderId="131" xfId="0" applyFont="1" applyBorder="1" applyProtection="1">
      <protection hidden="1"/>
    </xf>
    <xf numFmtId="0" fontId="41" fillId="0" borderId="132" xfId="0" applyFont="1" applyBorder="1" applyProtection="1">
      <protection hidden="1"/>
    </xf>
    <xf numFmtId="0" fontId="41" fillId="0" borderId="133" xfId="0" applyFont="1" applyBorder="1" applyProtection="1">
      <protection hidden="1"/>
    </xf>
    <xf numFmtId="0" fontId="0" fillId="0" borderId="134" xfId="0" applyBorder="1" applyProtection="1">
      <protection hidden="1"/>
    </xf>
    <xf numFmtId="0" fontId="0" fillId="0" borderId="135" xfId="0" applyBorder="1" applyProtection="1">
      <protection hidden="1"/>
    </xf>
    <xf numFmtId="0" fontId="0" fillId="0" borderId="134" xfId="0" applyBorder="1" applyAlignment="1" applyProtection="1">
      <alignment vertical="center"/>
      <protection hidden="1"/>
    </xf>
    <xf numFmtId="0" fontId="0" fillId="0" borderId="135" xfId="0" applyBorder="1" applyAlignment="1" applyProtection="1">
      <alignment vertical="center"/>
      <protection hidden="1"/>
    </xf>
    <xf numFmtId="0" fontId="0" fillId="0" borderId="136" xfId="0" applyBorder="1" applyProtection="1">
      <protection hidden="1"/>
    </xf>
    <xf numFmtId="0" fontId="0" fillId="0" borderId="137" xfId="0" applyBorder="1" applyProtection="1">
      <protection hidden="1"/>
    </xf>
    <xf numFmtId="0" fontId="0" fillId="0" borderId="138" xfId="0" applyBorder="1" applyProtection="1">
      <protection hidden="1"/>
    </xf>
    <xf numFmtId="0" fontId="14" fillId="0" borderId="12" xfId="45" applyBorder="1" applyProtection="1">
      <alignment vertical="center"/>
      <protection hidden="1"/>
    </xf>
    <xf numFmtId="0" fontId="64" fillId="0" borderId="0" xfId="0" applyFont="1" applyProtection="1">
      <protection hidden="1"/>
    </xf>
    <xf numFmtId="0" fontId="13" fillId="0" borderId="12" xfId="45" applyFont="1" applyBorder="1" applyProtection="1">
      <alignment vertical="center"/>
      <protection hidden="1"/>
    </xf>
    <xf numFmtId="0" fontId="68" fillId="0" borderId="0" xfId="0" applyFont="1" applyAlignment="1" applyProtection="1">
      <alignment vertical="center"/>
      <protection hidden="1"/>
    </xf>
    <xf numFmtId="0" fontId="14" fillId="0" borderId="120" xfId="45" applyBorder="1" applyAlignment="1" applyProtection="1">
      <alignment horizontal="left" vertical="center"/>
      <protection hidden="1"/>
    </xf>
    <xf numFmtId="0" fontId="14" fillId="0" borderId="13" xfId="45" applyBorder="1" applyAlignment="1" applyProtection="1">
      <alignment horizontal="left" vertical="center"/>
      <protection hidden="1"/>
    </xf>
    <xf numFmtId="0" fontId="105" fillId="0" borderId="134" xfId="0" applyFont="1" applyBorder="1" applyProtection="1">
      <protection hidden="1"/>
    </xf>
    <xf numFmtId="0" fontId="103" fillId="0" borderId="0" xfId="25" applyFont="1" applyAlignment="1" applyProtection="1">
      <alignment vertical="center" wrapText="1"/>
      <protection hidden="1"/>
    </xf>
    <xf numFmtId="0" fontId="68" fillId="0" borderId="0" xfId="0" applyFont="1" applyAlignment="1" applyProtection="1">
      <alignment wrapText="1"/>
      <protection hidden="1"/>
    </xf>
    <xf numFmtId="0" fontId="13" fillId="0" borderId="0" xfId="45" applyFont="1" applyProtection="1">
      <alignment vertical="center"/>
      <protection hidden="1"/>
    </xf>
    <xf numFmtId="0" fontId="0" fillId="0" borderId="147" xfId="0" applyBorder="1" applyProtection="1">
      <protection hidden="1"/>
    </xf>
    <xf numFmtId="0" fontId="0" fillId="0" borderId="149" xfId="0" applyBorder="1" applyProtection="1">
      <protection hidden="1"/>
    </xf>
    <xf numFmtId="0" fontId="0" fillId="0" borderId="128" xfId="0" applyBorder="1" applyProtection="1">
      <protection hidden="1"/>
    </xf>
    <xf numFmtId="0" fontId="65" fillId="0" borderId="150" xfId="40" applyBorder="1" applyAlignment="1" applyProtection="1">
      <alignment horizontal="left" vertical="center"/>
      <protection hidden="1"/>
    </xf>
    <xf numFmtId="169" fontId="6" fillId="0" borderId="93" xfId="0" applyNumberFormat="1" applyFont="1" applyBorder="1" applyProtection="1">
      <protection hidden="1"/>
    </xf>
    <xf numFmtId="169" fontId="6" fillId="0" borderId="94" xfId="0" applyNumberFormat="1" applyFont="1" applyBorder="1" applyProtection="1">
      <protection hidden="1"/>
    </xf>
    <xf numFmtId="169" fontId="0" fillId="0" borderId="94" xfId="0" applyNumberFormat="1" applyBorder="1" applyProtection="1">
      <protection hidden="1"/>
    </xf>
    <xf numFmtId="169" fontId="0" fillId="0" borderId="95" xfId="0" applyNumberFormat="1" applyBorder="1" applyProtection="1">
      <protection hidden="1"/>
    </xf>
    <xf numFmtId="169" fontId="0" fillId="0" borderId="121" xfId="0" applyNumberFormat="1" applyBorder="1" applyProtection="1">
      <protection hidden="1"/>
    </xf>
    <xf numFmtId="0" fontId="63" fillId="0" borderId="0" xfId="32" applyAlignment="1" applyProtection="1">
      <alignment horizontal="left" vertical="center"/>
      <protection hidden="1"/>
    </xf>
    <xf numFmtId="0" fontId="6" fillId="0" borderId="0" xfId="0" applyFont="1" applyAlignment="1" applyProtection="1">
      <alignment horizontal="left" vertical="center" wrapText="1" indent="1"/>
      <protection hidden="1"/>
    </xf>
    <xf numFmtId="0" fontId="90" fillId="0" borderId="154" xfId="0" applyFont="1" applyBorder="1" applyProtection="1">
      <protection locked="0"/>
    </xf>
    <xf numFmtId="10" fontId="76" fillId="0" borderId="0" xfId="0" applyNumberFormat="1" applyFont="1" applyAlignment="1" applyProtection="1">
      <alignment horizontal="center"/>
      <protection locked="0"/>
    </xf>
    <xf numFmtId="0" fontId="90" fillId="33" borderId="20" xfId="0" applyFont="1" applyFill="1" applyBorder="1" applyProtection="1">
      <protection locked="0"/>
    </xf>
    <xf numFmtId="0" fontId="90" fillId="33" borderId="152" xfId="0" applyFont="1" applyFill="1" applyBorder="1" applyProtection="1">
      <protection locked="0"/>
    </xf>
    <xf numFmtId="0" fontId="90" fillId="33" borderId="21" xfId="0" applyFont="1" applyFill="1" applyBorder="1" applyProtection="1">
      <protection locked="0"/>
    </xf>
    <xf numFmtId="0" fontId="90" fillId="33" borderId="153" xfId="0" applyFont="1" applyFill="1" applyBorder="1" applyProtection="1">
      <protection locked="0"/>
    </xf>
    <xf numFmtId="0" fontId="90" fillId="33" borderId="25" xfId="0" applyFont="1" applyFill="1" applyBorder="1" applyProtection="1">
      <protection locked="0"/>
    </xf>
    <xf numFmtId="0" fontId="90" fillId="33" borderId="32" xfId="0" applyFont="1" applyFill="1" applyBorder="1" applyProtection="1">
      <protection locked="0"/>
    </xf>
    <xf numFmtId="0" fontId="80" fillId="33" borderId="15" xfId="0" applyFont="1" applyFill="1" applyBorder="1" applyAlignment="1" applyProtection="1">
      <alignment horizontal="center"/>
      <protection locked="0"/>
    </xf>
    <xf numFmtId="0" fontId="83" fillId="33" borderId="3" xfId="0" applyFont="1" applyFill="1" applyBorder="1" applyAlignment="1" applyProtection="1">
      <alignment horizontal="center"/>
      <protection locked="0"/>
    </xf>
    <xf numFmtId="0" fontId="83" fillId="33" borderId="15" xfId="0" applyFont="1" applyFill="1" applyBorder="1" applyAlignment="1" applyProtection="1">
      <alignment horizontal="center"/>
      <protection locked="0"/>
    </xf>
    <xf numFmtId="0" fontId="0" fillId="33" borderId="0" xfId="0" applyFill="1" applyProtection="1">
      <protection locked="0"/>
    </xf>
    <xf numFmtId="0" fontId="0" fillId="33" borderId="101" xfId="0" applyFill="1" applyBorder="1" applyProtection="1">
      <protection locked="0"/>
    </xf>
    <xf numFmtId="0" fontId="0" fillId="33" borderId="53" xfId="0" applyFill="1" applyBorder="1" applyProtection="1">
      <protection locked="0"/>
    </xf>
    <xf numFmtId="0" fontId="80" fillId="33" borderId="155" xfId="0" applyFont="1" applyFill="1" applyBorder="1" applyAlignment="1" applyProtection="1">
      <alignment horizontal="center"/>
      <protection locked="0"/>
    </xf>
    <xf numFmtId="0" fontId="83" fillId="33" borderId="24" xfId="0" applyFont="1" applyFill="1" applyBorder="1" applyAlignment="1" applyProtection="1">
      <alignment horizontal="center"/>
      <protection locked="0"/>
    </xf>
    <xf numFmtId="0" fontId="83" fillId="33" borderId="155" xfId="0" applyFont="1" applyFill="1" applyBorder="1" applyAlignment="1" applyProtection="1">
      <alignment horizontal="center"/>
      <protection locked="0"/>
    </xf>
    <xf numFmtId="167" fontId="90" fillId="33" borderId="3" xfId="24" applyNumberFormat="1" applyFont="1" applyFill="1" applyBorder="1" applyAlignment="1" applyProtection="1">
      <alignment horizontal="center" vertical="center" wrapText="1"/>
      <protection locked="0"/>
    </xf>
    <xf numFmtId="172" fontId="1" fillId="0" borderId="0" xfId="1" applyNumberFormat="1" applyFont="1" applyFill="1" applyAlignment="1" applyProtection="1">
      <alignment horizontal="right" vertical="center" indent="1"/>
      <protection locked="0"/>
    </xf>
    <xf numFmtId="0" fontId="41" fillId="0" borderId="0" xfId="0" applyFont="1" applyAlignment="1" applyProtection="1">
      <alignment horizontal="center"/>
      <protection hidden="1"/>
    </xf>
    <xf numFmtId="0" fontId="1" fillId="0" borderId="15" xfId="0" applyFont="1" applyBorder="1" applyProtection="1">
      <protection hidden="1"/>
    </xf>
    <xf numFmtId="0" fontId="0" fillId="0" borderId="156" xfId="0" applyBorder="1" applyProtection="1">
      <protection hidden="1"/>
    </xf>
    <xf numFmtId="0" fontId="41" fillId="0" borderId="157" xfId="0" applyFont="1" applyBorder="1" applyProtection="1">
      <protection hidden="1"/>
    </xf>
    <xf numFmtId="0" fontId="64" fillId="0" borderId="158" xfId="38" applyBorder="1" applyAlignment="1" applyProtection="1">
      <alignment vertical="center"/>
      <protection hidden="1"/>
    </xf>
    <xf numFmtId="0" fontId="6" fillId="0" borderId="121" xfId="0" applyFont="1" applyBorder="1" applyProtection="1">
      <protection hidden="1"/>
    </xf>
    <xf numFmtId="0" fontId="41" fillId="0" borderId="128" xfId="0" applyFont="1" applyBorder="1" applyProtection="1">
      <protection hidden="1"/>
    </xf>
    <xf numFmtId="0" fontId="41" fillId="0" borderId="129" xfId="0" applyFont="1" applyBorder="1" applyProtection="1">
      <protection hidden="1"/>
    </xf>
    <xf numFmtId="0" fontId="0" fillId="0" borderId="130" xfId="0" applyBorder="1" applyProtection="1">
      <protection hidden="1"/>
    </xf>
    <xf numFmtId="0" fontId="41" fillId="0" borderId="46" xfId="0" applyFont="1" applyBorder="1" applyProtection="1">
      <protection hidden="1"/>
    </xf>
    <xf numFmtId="0" fontId="0" fillId="0" borderId="159" xfId="0" applyBorder="1" applyProtection="1">
      <protection hidden="1"/>
    </xf>
    <xf numFmtId="0" fontId="41" fillId="0" borderId="12" xfId="0" applyFont="1" applyBorder="1" applyProtection="1">
      <protection hidden="1"/>
    </xf>
    <xf numFmtId="0" fontId="41" fillId="0" borderId="48" xfId="0" applyFont="1" applyBorder="1" applyProtection="1">
      <protection hidden="1"/>
    </xf>
    <xf numFmtId="0" fontId="6" fillId="0" borderId="12" xfId="0" applyFont="1" applyBorder="1" applyProtection="1">
      <protection hidden="1"/>
    </xf>
    <xf numFmtId="0" fontId="41" fillId="0" borderId="51" xfId="0" applyFont="1" applyBorder="1" applyProtection="1">
      <protection hidden="1"/>
    </xf>
    <xf numFmtId="0" fontId="41" fillId="0" borderId="156" xfId="0" applyFont="1" applyBorder="1" applyProtection="1">
      <protection hidden="1"/>
    </xf>
    <xf numFmtId="0" fontId="64" fillId="0" borderId="157" xfId="38" applyBorder="1" applyAlignment="1" applyProtection="1">
      <alignment vertical="center"/>
      <protection hidden="1"/>
    </xf>
    <xf numFmtId="166" fontId="50" fillId="0" borderId="0" xfId="34" applyFill="1" applyProtection="1">
      <alignment horizontal="right" vertical="center" indent="1"/>
      <protection hidden="1"/>
    </xf>
    <xf numFmtId="0" fontId="64" fillId="0" borderId="156" xfId="38" applyBorder="1" applyAlignment="1" applyProtection="1">
      <alignment vertical="center"/>
      <protection hidden="1"/>
    </xf>
    <xf numFmtId="0" fontId="64" fillId="0" borderId="120" xfId="38" applyBorder="1" applyAlignment="1" applyProtection="1">
      <alignment vertical="center"/>
      <protection hidden="1"/>
    </xf>
    <xf numFmtId="166" fontId="50" fillId="23" borderId="121" xfId="34" applyBorder="1" applyProtection="1">
      <alignment horizontal="right" vertical="center" indent="1"/>
      <protection hidden="1"/>
    </xf>
    <xf numFmtId="166" fontId="50" fillId="28" borderId="0" xfId="34" applyFill="1" applyProtection="1">
      <alignment horizontal="right" vertical="center" indent="1"/>
      <protection hidden="1"/>
    </xf>
    <xf numFmtId="0" fontId="0" fillId="28" borderId="0" xfId="0" applyFill="1" applyProtection="1">
      <protection hidden="1"/>
    </xf>
    <xf numFmtId="0" fontId="0" fillId="33" borderId="25" xfId="0" applyFill="1" applyBorder="1" applyProtection="1">
      <protection locked="0"/>
    </xf>
    <xf numFmtId="0" fontId="0" fillId="33" borderId="26" xfId="0" applyFill="1" applyBorder="1" applyProtection="1">
      <protection locked="0"/>
    </xf>
    <xf numFmtId="0" fontId="0" fillId="33" borderId="32" xfId="0" applyFill="1" applyBorder="1" applyProtection="1">
      <protection locked="0"/>
    </xf>
    <xf numFmtId="0" fontId="0" fillId="33" borderId="33" xfId="0" applyFill="1" applyBorder="1" applyProtection="1">
      <protection locked="0"/>
    </xf>
    <xf numFmtId="0" fontId="68" fillId="33" borderId="25" xfId="0" applyFont="1" applyFill="1" applyBorder="1" applyAlignment="1" applyProtection="1">
      <alignment horizontal="center"/>
      <protection locked="0"/>
    </xf>
    <xf numFmtId="0" fontId="73" fillId="0" borderId="0" xfId="0" quotePrefix="1" applyFont="1" applyProtection="1">
      <protection hidden="1"/>
    </xf>
    <xf numFmtId="0" fontId="1" fillId="0" borderId="11" xfId="0" applyFont="1" applyBorder="1" applyAlignment="1">
      <alignment horizontal="left" vertical="center"/>
    </xf>
    <xf numFmtId="166" fontId="50" fillId="28" borderId="0" xfId="34" applyFill="1" applyAlignment="1" applyProtection="1">
      <alignment horizontal="center" vertical="center"/>
      <protection hidden="1"/>
    </xf>
    <xf numFmtId="166" fontId="50" fillId="23" borderId="0" xfId="34" applyAlignment="1" applyProtection="1">
      <alignment horizontal="center" vertical="center"/>
      <protection hidden="1"/>
    </xf>
    <xf numFmtId="0" fontId="30" fillId="0" borderId="0" xfId="33" applyFont="1" applyFill="1" applyProtection="1">
      <alignment vertical="center"/>
      <protection hidden="1"/>
    </xf>
    <xf numFmtId="0" fontId="99" fillId="0" borderId="0" xfId="51" applyFont="1" applyAlignment="1">
      <alignment vertical="top" wrapText="1"/>
      <protection hidden="1"/>
    </xf>
    <xf numFmtId="0" fontId="103" fillId="0" borderId="0" xfId="0" applyFont="1" applyAlignment="1" applyProtection="1">
      <alignment wrapText="1"/>
      <protection hidden="1"/>
    </xf>
    <xf numFmtId="0" fontId="71" fillId="0" borderId="0" xfId="0" applyFont="1" applyAlignment="1" applyProtection="1">
      <alignment wrapText="1"/>
      <protection hidden="1"/>
    </xf>
    <xf numFmtId="0" fontId="9" fillId="0" borderId="160" xfId="0" applyFont="1" applyBorder="1" applyAlignment="1" applyProtection="1">
      <alignment vertical="center" wrapText="1"/>
      <protection hidden="1"/>
    </xf>
    <xf numFmtId="0" fontId="22" fillId="0" borderId="0" xfId="27" applyAlignment="1" applyProtection="1">
      <alignment vertical="center" wrapText="1"/>
      <protection hidden="1"/>
    </xf>
    <xf numFmtId="0" fontId="109" fillId="0" borderId="0" xfId="0" applyFont="1" applyAlignment="1" applyProtection="1">
      <alignment vertical="center" wrapText="1"/>
      <protection hidden="1"/>
    </xf>
    <xf numFmtId="0" fontId="70" fillId="0" borderId="0" xfId="0" applyFont="1" applyAlignment="1" applyProtection="1">
      <alignment wrapText="1"/>
      <protection hidden="1"/>
    </xf>
    <xf numFmtId="0" fontId="34" fillId="0" borderId="0" xfId="32" applyFont="1" applyAlignment="1" applyProtection="1">
      <alignment horizontal="left" vertical="center"/>
      <protection hidden="1"/>
    </xf>
    <xf numFmtId="0" fontId="4" fillId="0" borderId="0" xfId="39" applyFont="1" applyAlignment="1" applyProtection="1">
      <alignment vertical="center" wrapText="1"/>
      <protection hidden="1"/>
    </xf>
    <xf numFmtId="0" fontId="4" fillId="0" borderId="0" xfId="39" applyFont="1" applyAlignment="1" applyProtection="1">
      <alignment vertical="center"/>
      <protection hidden="1"/>
    </xf>
    <xf numFmtId="3" fontId="50" fillId="0" borderId="0" xfId="1" applyFill="1" applyProtection="1">
      <alignment horizontal="center" vertical="center"/>
      <protection locked="0"/>
    </xf>
    <xf numFmtId="0" fontId="62" fillId="0" borderId="0" xfId="31" applyAlignment="1">
      <alignment horizontal="right" vertical="top"/>
    </xf>
    <xf numFmtId="0" fontId="66" fillId="0" borderId="12" xfId="43" applyBorder="1" applyAlignment="1" applyProtection="1">
      <alignment horizontal="left" vertical="center"/>
      <protection hidden="1"/>
    </xf>
    <xf numFmtId="0" fontId="50" fillId="0" borderId="0" xfId="0" applyFont="1" applyAlignment="1" applyProtection="1">
      <alignment vertical="center"/>
      <protection hidden="1"/>
    </xf>
    <xf numFmtId="0" fontId="68" fillId="0" borderId="0" xfId="38" applyFont="1" applyProtection="1">
      <alignment horizontal="center" vertical="center"/>
      <protection hidden="1"/>
    </xf>
    <xf numFmtId="166" fontId="50" fillId="0" borderId="12" xfId="34" applyFill="1" applyBorder="1" applyProtection="1">
      <alignment horizontal="right" vertical="center" indent="1"/>
      <protection hidden="1"/>
    </xf>
    <xf numFmtId="166" fontId="0" fillId="0" borderId="13" xfId="0" applyNumberFormat="1" applyBorder="1" applyAlignment="1" applyProtection="1">
      <alignment horizontal="center"/>
      <protection hidden="1"/>
    </xf>
    <xf numFmtId="165" fontId="50" fillId="0" borderId="0" xfId="1" applyNumberFormat="1" applyFill="1" applyProtection="1">
      <alignment horizontal="center" vertical="center"/>
      <protection locked="0"/>
    </xf>
    <xf numFmtId="166" fontId="50" fillId="0" borderId="12" xfId="1" applyNumberFormat="1" applyFill="1" applyBorder="1" applyAlignment="1" applyProtection="1">
      <alignment horizontal="right" vertical="center" indent="1"/>
      <protection locked="0"/>
    </xf>
    <xf numFmtId="166" fontId="4" fillId="0" borderId="13" xfId="34" applyFont="1" applyFill="1" applyBorder="1" applyProtection="1">
      <alignment horizontal="right" vertical="center" indent="1"/>
      <protection hidden="1"/>
    </xf>
    <xf numFmtId="167" fontId="7" fillId="0" borderId="13" xfId="24" applyNumberFormat="1" applyFill="1" applyBorder="1" applyAlignment="1" applyProtection="1">
      <alignment horizontal="center" vertical="center"/>
      <protection hidden="1"/>
    </xf>
    <xf numFmtId="166" fontId="50" fillId="0" borderId="13" xfId="34" applyFill="1" applyBorder="1" applyProtection="1">
      <alignment horizontal="right" vertical="center" indent="1"/>
      <protection hidden="1"/>
    </xf>
    <xf numFmtId="0" fontId="0" fillId="0" borderId="0" xfId="0" applyAlignment="1">
      <alignment horizontal="left"/>
    </xf>
    <xf numFmtId="0" fontId="0" fillId="0" borderId="115" xfId="0" applyBorder="1" applyAlignment="1">
      <alignment vertical="center"/>
    </xf>
    <xf numFmtId="166" fontId="50" fillId="0" borderId="12" xfId="1" applyNumberFormat="1" applyFill="1" applyBorder="1" applyProtection="1">
      <alignment horizontal="center" vertical="center"/>
      <protection hidden="1"/>
    </xf>
    <xf numFmtId="166" fontId="50" fillId="0" borderId="13" xfId="1" applyNumberFormat="1" applyFill="1" applyBorder="1" applyProtection="1">
      <alignment horizontal="center" vertical="center"/>
      <protection hidden="1"/>
    </xf>
    <xf numFmtId="0" fontId="0" fillId="0" borderId="13" xfId="0" applyBorder="1" applyAlignment="1" applyProtection="1">
      <alignment horizontal="right" vertical="center" indent="1"/>
      <protection hidden="1"/>
    </xf>
    <xf numFmtId="166" fontId="4" fillId="0" borderId="12" xfId="35" applyFont="1" applyFill="1" applyBorder="1" applyProtection="1">
      <alignment horizontal="right" vertical="center" indent="1"/>
      <protection hidden="1"/>
    </xf>
    <xf numFmtId="166" fontId="50" fillId="0" borderId="12" xfId="35" applyFill="1" applyBorder="1" applyProtection="1">
      <alignment horizontal="right" vertical="center" indent="1"/>
      <protection hidden="1"/>
    </xf>
    <xf numFmtId="166" fontId="50" fillId="0" borderId="13" xfId="35" applyFill="1" applyBorder="1" applyAlignment="1" applyProtection="1">
      <alignment horizontal="center" vertical="center"/>
      <protection hidden="1"/>
    </xf>
    <xf numFmtId="0" fontId="89" fillId="34" borderId="2" xfId="0" applyFont="1" applyFill="1" applyBorder="1" applyAlignment="1" applyProtection="1">
      <alignment horizontal="center" vertical="center" wrapText="1"/>
      <protection locked="0"/>
    </xf>
    <xf numFmtId="0" fontId="89" fillId="34" borderId="3" xfId="0" applyFont="1" applyFill="1" applyBorder="1" applyAlignment="1" applyProtection="1">
      <alignment horizontal="center" vertical="center" wrapText="1"/>
      <protection locked="0"/>
    </xf>
    <xf numFmtId="0" fontId="90" fillId="34" borderId="2" xfId="0" applyFont="1" applyFill="1" applyBorder="1" applyAlignment="1" applyProtection="1">
      <alignment horizontal="right" wrapText="1"/>
      <protection locked="0"/>
    </xf>
    <xf numFmtId="2" fontId="90" fillId="34" borderId="96" xfId="0" applyNumberFormat="1" applyFont="1" applyFill="1" applyBorder="1" applyAlignment="1" applyProtection="1">
      <alignment horizontal="center" wrapText="1"/>
      <protection locked="0"/>
    </xf>
    <xf numFmtId="2" fontId="90" fillId="34" borderId="165" xfId="0" applyNumberFormat="1" applyFont="1" applyFill="1" applyBorder="1" applyAlignment="1" applyProtection="1">
      <alignment horizontal="center" wrapText="1"/>
      <protection locked="0"/>
    </xf>
    <xf numFmtId="0" fontId="0" fillId="34" borderId="97" xfId="0" applyFill="1" applyBorder="1" applyAlignment="1" applyProtection="1">
      <alignment horizontal="right"/>
      <protection locked="0"/>
    </xf>
    <xf numFmtId="2" fontId="90" fillId="34" borderId="164" xfId="0" applyNumberFormat="1" applyFont="1" applyFill="1" applyBorder="1" applyAlignment="1" applyProtection="1">
      <alignment horizontal="center" wrapText="1"/>
      <protection locked="0"/>
    </xf>
    <xf numFmtId="0" fontId="90" fillId="34" borderId="98" xfId="0" applyFont="1" applyFill="1" applyBorder="1" applyAlignment="1" applyProtection="1">
      <alignment horizontal="right" wrapText="1"/>
      <protection locked="0"/>
    </xf>
    <xf numFmtId="2" fontId="90" fillId="34" borderId="98" xfId="0" applyNumberFormat="1" applyFont="1" applyFill="1" applyBorder="1" applyAlignment="1" applyProtection="1">
      <alignment horizontal="center" wrapText="1"/>
      <protection locked="0"/>
    </xf>
    <xf numFmtId="0" fontId="90" fillId="34" borderId="121" xfId="0" applyFont="1" applyFill="1" applyBorder="1" applyAlignment="1" applyProtection="1">
      <alignment horizontal="right" wrapText="1"/>
      <protection locked="0"/>
    </xf>
    <xf numFmtId="0" fontId="90" fillId="34" borderId="3" xfId="0" applyFont="1" applyFill="1" applyBorder="1" applyAlignment="1" applyProtection="1">
      <alignment horizontal="right" wrapText="1"/>
      <protection locked="0"/>
    </xf>
    <xf numFmtId="0" fontId="90" fillId="0" borderId="0" xfId="0" applyFont="1" applyAlignment="1" applyProtection="1">
      <alignment horizontal="left" vertical="center"/>
      <protection locked="0"/>
    </xf>
    <xf numFmtId="0" fontId="83" fillId="34" borderId="98" xfId="0" applyFont="1" applyFill="1" applyBorder="1" applyAlignment="1" applyProtection="1">
      <alignment horizontal="center" vertical="center" wrapText="1"/>
      <protection locked="0"/>
    </xf>
    <xf numFmtId="0" fontId="90" fillId="34" borderId="9" xfId="0" applyFont="1" applyFill="1" applyBorder="1" applyAlignment="1" applyProtection="1">
      <alignment vertical="center" wrapText="1"/>
      <protection locked="0"/>
    </xf>
    <xf numFmtId="0" fontId="90" fillId="34" borderId="167" xfId="0" applyFont="1" applyFill="1" applyBorder="1" applyAlignment="1" applyProtection="1">
      <alignment horizontal="right" wrapText="1"/>
      <protection locked="0"/>
    </xf>
    <xf numFmtId="2" fontId="90" fillId="34" borderId="166" xfId="0" applyNumberFormat="1" applyFont="1" applyFill="1" applyBorder="1" applyAlignment="1" applyProtection="1">
      <alignment horizontal="center" wrapText="1"/>
      <protection locked="0"/>
    </xf>
    <xf numFmtId="0" fontId="90" fillId="34" borderId="164" xfId="0" applyFont="1" applyFill="1" applyBorder="1" applyAlignment="1" applyProtection="1">
      <alignment horizontal="right" wrapText="1"/>
      <protection locked="0"/>
    </xf>
    <xf numFmtId="0" fontId="113" fillId="0" borderId="0" xfId="0" applyFont="1" applyProtection="1">
      <protection hidden="1"/>
    </xf>
    <xf numFmtId="0" fontId="0" fillId="0" borderId="157" xfId="0" applyBorder="1" applyAlignment="1" applyProtection="1">
      <alignment vertical="center"/>
      <protection hidden="1"/>
    </xf>
    <xf numFmtId="166" fontId="50" fillId="0" borderId="0" xfId="1" applyNumberFormat="1" applyFill="1" applyProtection="1">
      <alignment horizontal="center" vertical="center"/>
      <protection hidden="1"/>
    </xf>
    <xf numFmtId="166" fontId="1" fillId="0" borderId="12" xfId="35" applyFont="1" applyFill="1" applyBorder="1" applyProtection="1">
      <alignment horizontal="right" vertical="center" indent="1"/>
      <protection hidden="1"/>
    </xf>
    <xf numFmtId="166" fontId="29" fillId="0" borderId="12" xfId="35" applyFont="1" applyFill="1" applyBorder="1" applyProtection="1">
      <alignment horizontal="right" vertical="center" indent="1"/>
      <protection hidden="1"/>
    </xf>
    <xf numFmtId="166" fontId="4" fillId="0" borderId="13" xfId="35" applyFont="1" applyFill="1" applyBorder="1" applyProtection="1">
      <alignment horizontal="right" vertical="center" indent="1"/>
      <protection hidden="1"/>
    </xf>
    <xf numFmtId="173" fontId="1" fillId="0" borderId="12" xfId="35" applyNumberFormat="1" applyFont="1" applyFill="1" applyBorder="1" applyProtection="1">
      <alignment horizontal="right" vertical="center" indent="1"/>
      <protection hidden="1"/>
    </xf>
    <xf numFmtId="166" fontId="1" fillId="0" borderId="13" xfId="34" applyFont="1" applyFill="1" applyBorder="1" applyProtection="1">
      <alignment horizontal="right" vertical="center" indent="1"/>
      <protection hidden="1"/>
    </xf>
    <xf numFmtId="0" fontId="0" fillId="35" borderId="0" xfId="0" applyFill="1" applyProtection="1">
      <protection hidden="1"/>
    </xf>
    <xf numFmtId="0" fontId="0" fillId="26" borderId="0" xfId="0" applyFill="1" applyProtection="1">
      <protection hidden="1"/>
    </xf>
    <xf numFmtId="0" fontId="72" fillId="0" borderId="0" xfId="0" applyFont="1" applyAlignment="1" applyProtection="1">
      <alignment vertical="center" wrapText="1"/>
      <protection hidden="1"/>
    </xf>
    <xf numFmtId="0" fontId="0" fillId="0" borderId="75" xfId="0" applyBorder="1" applyProtection="1">
      <protection hidden="1"/>
    </xf>
    <xf numFmtId="0" fontId="0" fillId="0" borderId="76" xfId="0" applyBorder="1" applyProtection="1">
      <protection hidden="1"/>
    </xf>
    <xf numFmtId="0" fontId="0" fillId="0" borderId="77" xfId="0" applyBorder="1" applyProtection="1">
      <protection hidden="1"/>
    </xf>
    <xf numFmtId="0" fontId="0" fillId="0" borderId="78" xfId="0" applyBorder="1" applyProtection="1">
      <protection hidden="1"/>
    </xf>
    <xf numFmtId="0" fontId="0" fillId="0" borderId="79" xfId="0" applyBorder="1" applyProtection="1">
      <protection hidden="1"/>
    </xf>
    <xf numFmtId="0" fontId="11" fillId="0" borderId="0" xfId="42" applyAlignment="1" applyProtection="1">
      <alignment vertical="center" wrapText="1"/>
      <protection hidden="1"/>
    </xf>
    <xf numFmtId="0" fontId="0" fillId="0" borderId="72" xfId="0" applyBorder="1" applyAlignment="1" applyProtection="1">
      <alignment vertical="center"/>
      <protection hidden="1"/>
    </xf>
    <xf numFmtId="0" fontId="0" fillId="0" borderId="74" xfId="0" applyBorder="1" applyAlignment="1" applyProtection="1">
      <alignment vertical="center"/>
      <protection hidden="1"/>
    </xf>
    <xf numFmtId="170" fontId="0" fillId="0" borderId="0" xfId="0" applyNumberFormat="1" applyAlignment="1" applyProtection="1">
      <alignment horizontal="left" vertical="top"/>
      <protection hidden="1"/>
    </xf>
    <xf numFmtId="170" fontId="4" fillId="7" borderId="13" xfId="37" applyNumberFormat="1" applyFont="1" applyBorder="1" applyAlignment="1" applyProtection="1">
      <alignment horizontal="center" vertical="center"/>
      <protection hidden="1"/>
    </xf>
    <xf numFmtId="0" fontId="0" fillId="26" borderId="0" xfId="0" applyFill="1" applyAlignment="1" applyProtection="1">
      <alignment vertical="center"/>
      <protection hidden="1"/>
    </xf>
    <xf numFmtId="0" fontId="62" fillId="26" borderId="0" xfId="31" applyFill="1">
      <alignment vertical="center"/>
    </xf>
    <xf numFmtId="0" fontId="33" fillId="26" borderId="0" xfId="0" applyFont="1" applyFill="1" applyProtection="1">
      <protection hidden="1"/>
    </xf>
    <xf numFmtId="0" fontId="62" fillId="0" borderId="0" xfId="31">
      <alignment vertical="center"/>
    </xf>
    <xf numFmtId="0" fontId="63" fillId="0" borderId="0" xfId="32" applyAlignment="1">
      <alignment vertical="center" wrapText="1"/>
    </xf>
    <xf numFmtId="0" fontId="99" fillId="0" borderId="0" xfId="51" applyFont="1" applyAlignment="1">
      <alignment vertical="center" wrapText="1"/>
      <protection hidden="1"/>
    </xf>
    <xf numFmtId="0" fontId="99" fillId="26" borderId="0" xfId="51" applyFont="1" applyFill="1" applyAlignment="1">
      <alignment vertical="center" wrapText="1"/>
      <protection hidden="1"/>
    </xf>
    <xf numFmtId="0" fontId="117" fillId="0" borderId="0" xfId="0" applyFont="1" applyProtection="1">
      <protection hidden="1"/>
    </xf>
    <xf numFmtId="0" fontId="116" fillId="0" borderId="0" xfId="0" applyFont="1" applyAlignment="1" applyProtection="1">
      <alignment vertical="center" wrapText="1"/>
      <protection hidden="1"/>
    </xf>
    <xf numFmtId="0" fontId="73" fillId="0" borderId="0" xfId="0" quotePrefix="1" applyFont="1" applyAlignment="1" applyProtection="1">
      <alignment horizontal="center"/>
      <protection hidden="1"/>
    </xf>
    <xf numFmtId="0" fontId="100" fillId="0" borderId="0" xfId="52" applyBorder="1" applyAlignment="1" applyProtection="1">
      <alignment horizontal="center" vertical="center" wrapText="1"/>
      <protection hidden="1"/>
    </xf>
    <xf numFmtId="0" fontId="69" fillId="25" borderId="63" xfId="0" applyFont="1" applyFill="1" applyBorder="1" applyAlignment="1" applyProtection="1">
      <alignment horizontal="center" vertical="center"/>
      <protection hidden="1"/>
    </xf>
    <xf numFmtId="0" fontId="69" fillId="25" borderId="64" xfId="0" applyFont="1" applyFill="1" applyBorder="1" applyAlignment="1" applyProtection="1">
      <alignment horizontal="center" vertical="center"/>
      <protection hidden="1"/>
    </xf>
    <xf numFmtId="0" fontId="69" fillId="25" borderId="65" xfId="0" applyFont="1" applyFill="1" applyBorder="1" applyAlignment="1" applyProtection="1">
      <alignment horizontal="center" vertical="center"/>
      <protection hidden="1"/>
    </xf>
    <xf numFmtId="0" fontId="69" fillId="25" borderId="66" xfId="0" applyFont="1" applyFill="1" applyBorder="1" applyAlignment="1" applyProtection="1">
      <alignment horizontal="center" vertical="center"/>
      <protection hidden="1"/>
    </xf>
    <xf numFmtId="0" fontId="69" fillId="25" borderId="67" xfId="0" applyFont="1" applyFill="1" applyBorder="1" applyAlignment="1" applyProtection="1">
      <alignment horizontal="center" vertical="center"/>
      <protection hidden="1"/>
    </xf>
    <xf numFmtId="0" fontId="69" fillId="25" borderId="68" xfId="0" applyFont="1" applyFill="1" applyBorder="1" applyAlignment="1" applyProtection="1">
      <alignment horizontal="center" vertical="center"/>
      <protection hidden="1"/>
    </xf>
    <xf numFmtId="3" fontId="0" fillId="17" borderId="0" xfId="1" applyFont="1" applyProtection="1">
      <alignment horizontal="center" vertical="center"/>
      <protection locked="0" hidden="1"/>
    </xf>
    <xf numFmtId="3" fontId="50" fillId="17" borderId="0" xfId="1" applyProtection="1">
      <alignment horizontal="center" vertical="center"/>
      <protection locked="0" hidden="1"/>
    </xf>
    <xf numFmtId="0" fontId="56" fillId="21" borderId="1" xfId="18">
      <alignment horizontal="center" vertical="center"/>
    </xf>
    <xf numFmtId="0" fontId="5" fillId="3" borderId="0" xfId="0" applyFont="1" applyFill="1" applyAlignment="1" applyProtection="1">
      <alignment horizontal="left" indent="1"/>
      <protection hidden="1"/>
    </xf>
    <xf numFmtId="0" fontId="27" fillId="0" borderId="0" xfId="0" applyFont="1" applyAlignment="1" applyProtection="1">
      <alignment horizontal="center" vertical="center" wrapText="1"/>
      <protection hidden="1"/>
    </xf>
    <xf numFmtId="0" fontId="0" fillId="0" borderId="0" xfId="0" applyAlignment="1" applyProtection="1">
      <alignment horizontal="center" vertical="top" wrapText="1"/>
      <protection hidden="1"/>
    </xf>
    <xf numFmtId="0" fontId="0" fillId="0" borderId="67" xfId="0" applyBorder="1" applyAlignment="1" applyProtection="1">
      <alignment horizontal="center" vertical="top" wrapText="1"/>
      <protection hidden="1"/>
    </xf>
    <xf numFmtId="0" fontId="22" fillId="0" borderId="0" xfId="27" applyAlignment="1" applyProtection="1">
      <alignment horizontal="left" vertical="center"/>
      <protection hidden="1"/>
    </xf>
    <xf numFmtId="166" fontId="50" fillId="23" borderId="0" xfId="34" applyAlignment="1">
      <alignment horizontal="left" vertical="center" indent="1"/>
    </xf>
    <xf numFmtId="0" fontId="0" fillId="14" borderId="0" xfId="0" applyFill="1" applyAlignment="1" applyProtection="1">
      <alignment horizontal="left" vertical="center" indent="1"/>
      <protection hidden="1"/>
    </xf>
    <xf numFmtId="3" fontId="50" fillId="17" borderId="0" xfId="1" applyAlignment="1">
      <alignment horizontal="left" vertical="center" indent="1"/>
    </xf>
    <xf numFmtId="0" fontId="50" fillId="17" borderId="0" xfId="1" applyNumberFormat="1" applyProtection="1">
      <alignment horizontal="center" vertical="center"/>
      <protection locked="0" hidden="1"/>
    </xf>
    <xf numFmtId="168" fontId="29" fillId="17" borderId="0" xfId="1" applyNumberFormat="1" applyFont="1" applyProtection="1">
      <alignment horizontal="center" vertical="center"/>
      <protection locked="0" hidden="1"/>
    </xf>
    <xf numFmtId="168" fontId="50" fillId="17" borderId="0" xfId="1" applyNumberFormat="1" applyProtection="1">
      <alignment horizontal="center" vertical="center"/>
      <protection locked="0" hidden="1"/>
    </xf>
    <xf numFmtId="0" fontId="100" fillId="21" borderId="1" xfId="52" applyFill="1" applyBorder="1" applyAlignment="1" applyProtection="1">
      <alignment horizontal="center" vertical="center"/>
      <protection hidden="1"/>
    </xf>
    <xf numFmtId="0" fontId="22" fillId="0" borderId="0" xfId="27" applyAlignment="1" applyProtection="1">
      <alignment horizontal="left" vertical="center" wrapText="1"/>
      <protection hidden="1"/>
    </xf>
    <xf numFmtId="0" fontId="103" fillId="0" borderId="72" xfId="0" applyFont="1" applyBorder="1" applyAlignment="1" applyProtection="1">
      <alignment horizontal="left" vertical="top" wrapText="1"/>
      <protection hidden="1"/>
    </xf>
    <xf numFmtId="0" fontId="103" fillId="0" borderId="73" xfId="0" applyFont="1" applyBorder="1" applyAlignment="1" applyProtection="1">
      <alignment horizontal="left" vertical="top" wrapText="1"/>
      <protection hidden="1"/>
    </xf>
    <xf numFmtId="0" fontId="103" fillId="0" borderId="74" xfId="0" applyFont="1" applyBorder="1" applyAlignment="1" applyProtection="1">
      <alignment horizontal="left" vertical="top" wrapText="1"/>
      <protection hidden="1"/>
    </xf>
    <xf numFmtId="0" fontId="103" fillId="0" borderId="75" xfId="0" applyFont="1" applyBorder="1" applyAlignment="1" applyProtection="1">
      <alignment horizontal="left" vertical="top" wrapText="1"/>
      <protection hidden="1"/>
    </xf>
    <xf numFmtId="0" fontId="103" fillId="0" borderId="0" xfId="0" applyFont="1" applyAlignment="1" applyProtection="1">
      <alignment horizontal="left" vertical="top" wrapText="1"/>
      <protection hidden="1"/>
    </xf>
    <xf numFmtId="0" fontId="103" fillId="0" borderId="76" xfId="0" applyFont="1" applyBorder="1" applyAlignment="1" applyProtection="1">
      <alignment horizontal="left" vertical="top" wrapText="1"/>
      <protection hidden="1"/>
    </xf>
    <xf numFmtId="0" fontId="103" fillId="0" borderId="77" xfId="0" applyFont="1" applyBorder="1" applyAlignment="1" applyProtection="1">
      <alignment horizontal="left" vertical="top" wrapText="1"/>
      <protection hidden="1"/>
    </xf>
    <xf numFmtId="0" fontId="103" fillId="0" borderId="78" xfId="0" applyFont="1" applyBorder="1" applyAlignment="1" applyProtection="1">
      <alignment horizontal="left" vertical="top" wrapText="1"/>
      <protection hidden="1"/>
    </xf>
    <xf numFmtId="0" fontId="103" fillId="0" borderId="79" xfId="0" applyFont="1" applyBorder="1" applyAlignment="1" applyProtection="1">
      <alignment horizontal="left" vertical="top" wrapText="1"/>
      <protection hidden="1"/>
    </xf>
    <xf numFmtId="166" fontId="50" fillId="23" borderId="13" xfId="34" applyBorder="1" applyAlignment="1" applyProtection="1">
      <alignment horizontal="center" vertical="center"/>
      <protection hidden="1"/>
    </xf>
    <xf numFmtId="0" fontId="14" fillId="0" borderId="13" xfId="45" applyBorder="1" applyAlignment="1" applyProtection="1">
      <alignment horizontal="left" vertical="center"/>
      <protection hidden="1"/>
    </xf>
    <xf numFmtId="0" fontId="14" fillId="0" borderId="120" xfId="45" applyBorder="1" applyAlignment="1" applyProtection="1">
      <alignment horizontal="left" vertical="center"/>
      <protection hidden="1"/>
    </xf>
    <xf numFmtId="0" fontId="14" fillId="0" borderId="0" xfId="45" applyAlignment="1" applyProtection="1">
      <alignment horizontal="left" vertical="center"/>
      <protection hidden="1"/>
    </xf>
    <xf numFmtId="166" fontId="50" fillId="23" borderId="0" xfId="34" applyAlignment="1" applyProtection="1">
      <alignment horizontal="center" vertical="center"/>
      <protection hidden="1"/>
    </xf>
    <xf numFmtId="166" fontId="50" fillId="28" borderId="0" xfId="34" applyFill="1" applyAlignment="1" applyProtection="1">
      <alignment horizontal="center" vertical="center"/>
      <protection hidden="1"/>
    </xf>
    <xf numFmtId="166" fontId="50" fillId="17" borderId="13" xfId="1" applyNumberFormat="1" applyBorder="1" applyAlignment="1" applyProtection="1">
      <alignment horizontal="right" vertical="center" indent="1"/>
      <protection locked="0"/>
    </xf>
    <xf numFmtId="175" fontId="0" fillId="7" borderId="12" xfId="0" applyNumberFormat="1" applyFill="1" applyBorder="1" applyAlignment="1" applyProtection="1">
      <alignment horizontal="center"/>
      <protection hidden="1"/>
    </xf>
    <xf numFmtId="0" fontId="4" fillId="0" borderId="120"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121" xfId="0" applyFont="1" applyBorder="1" applyAlignment="1" applyProtection="1">
      <alignment horizontal="center"/>
      <protection hidden="1"/>
    </xf>
    <xf numFmtId="0" fontId="14" fillId="0" borderId="12" xfId="45" applyBorder="1" applyAlignment="1" applyProtection="1">
      <alignment horizontal="left" vertical="center"/>
      <protection hidden="1"/>
    </xf>
    <xf numFmtId="166" fontId="50" fillId="23" borderId="12" xfId="34" applyBorder="1" applyProtection="1">
      <alignment horizontal="right" vertical="center" indent="1"/>
      <protection hidden="1"/>
    </xf>
    <xf numFmtId="0" fontId="64" fillId="0" borderId="148" xfId="0" applyFont="1" applyBorder="1" applyAlignment="1" applyProtection="1">
      <alignment horizontal="center"/>
      <protection hidden="1"/>
    </xf>
    <xf numFmtId="169" fontId="50" fillId="23" borderId="34" xfId="34" applyNumberFormat="1" applyBorder="1" applyProtection="1">
      <alignment horizontal="right" vertical="center" indent="1"/>
      <protection hidden="1"/>
    </xf>
    <xf numFmtId="169" fontId="50" fillId="23" borderId="13" xfId="34" applyNumberFormat="1" applyBorder="1" applyProtection="1">
      <alignment horizontal="right" vertical="center" indent="1"/>
      <protection hidden="1"/>
    </xf>
    <xf numFmtId="169" fontId="50" fillId="23" borderId="53" xfId="34" applyNumberFormat="1" applyBorder="1" applyProtection="1">
      <alignment horizontal="right" vertical="center" indent="1"/>
      <protection hidden="1"/>
    </xf>
    <xf numFmtId="169" fontId="4" fillId="23" borderId="103" xfId="34" applyNumberFormat="1" applyFont="1" applyBorder="1" applyProtection="1">
      <alignment horizontal="right" vertical="center" indent="1"/>
      <protection hidden="1"/>
    </xf>
    <xf numFmtId="0" fontId="35" fillId="0" borderId="157" xfId="38" applyFont="1" applyBorder="1" applyProtection="1">
      <alignment horizontal="center" vertical="center"/>
      <protection hidden="1"/>
    </xf>
    <xf numFmtId="0" fontId="35" fillId="0" borderId="158" xfId="38" applyFont="1" applyBorder="1" applyProtection="1">
      <alignment horizontal="center" vertical="center"/>
      <protection hidden="1"/>
    </xf>
    <xf numFmtId="0" fontId="35" fillId="0" borderId="0" xfId="38" applyFont="1" applyProtection="1">
      <alignment horizontal="center" vertical="center"/>
      <protection hidden="1"/>
    </xf>
    <xf numFmtId="166" fontId="50" fillId="23" borderId="0" xfId="34" applyProtection="1">
      <alignment horizontal="right" vertical="center" indent="1"/>
      <protection hidden="1"/>
    </xf>
    <xf numFmtId="166" fontId="50" fillId="23" borderId="121" xfId="34" applyBorder="1" applyProtection="1">
      <alignment horizontal="right" vertical="center" indent="1"/>
      <protection hidden="1"/>
    </xf>
    <xf numFmtId="0" fontId="35" fillId="0" borderId="10" xfId="38" applyFont="1" applyBorder="1" applyProtection="1">
      <alignment horizontal="center" vertical="center"/>
      <protection hidden="1"/>
    </xf>
    <xf numFmtId="0" fontId="64" fillId="0" borderId="10" xfId="38" applyBorder="1" applyProtection="1">
      <alignment horizontal="center" vertical="center"/>
      <protection hidden="1"/>
    </xf>
    <xf numFmtId="0" fontId="64" fillId="0" borderId="0" xfId="38" applyProtection="1">
      <alignment horizontal="center" vertical="center"/>
      <protection hidden="1"/>
    </xf>
    <xf numFmtId="166" fontId="50" fillId="23" borderId="12" xfId="34" applyBorder="1" applyAlignment="1" applyProtection="1">
      <alignment horizontal="center" vertical="center"/>
      <protection hidden="1"/>
    </xf>
    <xf numFmtId="0" fontId="41" fillId="0" borderId="0" xfId="0" applyFont="1" applyAlignment="1" applyProtection="1">
      <alignment horizontal="center"/>
      <protection hidden="1"/>
    </xf>
    <xf numFmtId="0" fontId="68" fillId="0" borderId="0" xfId="0" applyFont="1" applyAlignment="1" applyProtection="1">
      <alignment horizontal="center" vertical="center"/>
      <protection hidden="1"/>
    </xf>
    <xf numFmtId="166" fontId="50" fillId="28" borderId="12" xfId="1" applyNumberFormat="1" applyFill="1" applyBorder="1" applyAlignment="1" applyProtection="1">
      <alignment horizontal="right" vertical="center" indent="1"/>
      <protection hidden="1"/>
    </xf>
    <xf numFmtId="167" fontId="0" fillId="28" borderId="12" xfId="0" applyNumberFormat="1" applyFill="1" applyBorder="1" applyAlignment="1" applyProtection="1">
      <alignment horizontal="center"/>
      <protection locked="0"/>
    </xf>
    <xf numFmtId="0" fontId="68" fillId="0" borderId="0" xfId="0" applyFont="1" applyAlignment="1" applyProtection="1">
      <alignment horizontal="center"/>
      <protection hidden="1"/>
    </xf>
    <xf numFmtId="166" fontId="50" fillId="17" borderId="12" xfId="1" applyNumberFormat="1" applyBorder="1" applyAlignment="1" applyProtection="1">
      <alignment horizontal="right" vertical="center" indent="1"/>
      <protection locked="0"/>
    </xf>
    <xf numFmtId="0" fontId="68" fillId="0" borderId="0" xfId="0" applyFont="1" applyAlignment="1" applyProtection="1">
      <alignment horizontal="center" vertical="center" wrapText="1"/>
      <protection hidden="1"/>
    </xf>
    <xf numFmtId="0" fontId="8" fillId="0" borderId="12" xfId="39" applyBorder="1" applyAlignment="1" applyProtection="1">
      <alignment horizontal="center" vertical="center" wrapText="1"/>
      <protection hidden="1"/>
    </xf>
    <xf numFmtId="175" fontId="0" fillId="7" borderId="13" xfId="0" applyNumberFormat="1" applyFill="1" applyBorder="1" applyAlignment="1" applyProtection="1">
      <alignment horizontal="center"/>
      <protection hidden="1"/>
    </xf>
    <xf numFmtId="173" fontId="1" fillId="23" borderId="12" xfId="34" applyNumberFormat="1" applyFont="1" applyBorder="1" applyAlignment="1" applyProtection="1">
      <alignment horizontal="center" vertical="center"/>
      <protection hidden="1"/>
    </xf>
    <xf numFmtId="0" fontId="8" fillId="0" borderId="0" xfId="39" applyAlignment="1" applyProtection="1">
      <alignment horizontal="center" vertical="center" wrapText="1"/>
      <protection hidden="1"/>
    </xf>
    <xf numFmtId="0" fontId="63" fillId="0" borderId="0" xfId="32" applyProtection="1">
      <alignment vertical="center"/>
      <protection hidden="1"/>
    </xf>
    <xf numFmtId="0" fontId="14" fillId="0" borderId="12" xfId="45" applyBorder="1" applyAlignment="1" applyProtection="1">
      <alignment horizontal="left" vertical="center" wrapText="1"/>
      <protection hidden="1"/>
    </xf>
    <xf numFmtId="0" fontId="65" fillId="0" borderId="13" xfId="40" applyBorder="1" applyAlignment="1" applyProtection="1">
      <alignment horizontal="left" vertical="center"/>
      <protection hidden="1"/>
    </xf>
    <xf numFmtId="0" fontId="66" fillId="0" borderId="12" xfId="43" applyBorder="1" applyAlignment="1" applyProtection="1">
      <alignment horizontal="left" vertical="center"/>
      <protection hidden="1"/>
    </xf>
    <xf numFmtId="173" fontId="50" fillId="23" borderId="12" xfId="34" applyNumberFormat="1" applyBorder="1" applyAlignment="1" applyProtection="1">
      <alignment horizontal="center" vertical="center"/>
      <protection hidden="1"/>
    </xf>
    <xf numFmtId="0" fontId="62" fillId="0" borderId="0" xfId="31" applyProtection="1">
      <alignment vertical="center"/>
      <protection hidden="1"/>
    </xf>
    <xf numFmtId="169" fontId="50" fillId="17" borderId="12" xfId="1" applyNumberFormat="1" applyBorder="1" applyAlignment="1" applyProtection="1">
      <alignment horizontal="right" vertical="center" indent="1"/>
      <protection locked="0"/>
    </xf>
    <xf numFmtId="0" fontId="0" fillId="0" borderId="14" xfId="0" applyBorder="1" applyAlignment="1" applyProtection="1">
      <alignment vertical="center"/>
      <protection hidden="1"/>
    </xf>
    <xf numFmtId="169" fontId="1" fillId="23" borderId="12" xfId="34" applyNumberFormat="1" applyFont="1" applyBorder="1" applyProtection="1">
      <alignment horizontal="right" vertical="center" indent="1"/>
      <protection hidden="1"/>
    </xf>
    <xf numFmtId="0" fontId="35" fillId="0" borderId="148" xfId="38" applyFont="1" applyBorder="1" applyProtection="1">
      <alignment horizontal="center" vertical="center"/>
      <protection hidden="1"/>
    </xf>
    <xf numFmtId="0" fontId="4" fillId="0" borderId="0" xfId="0" applyFont="1" applyAlignment="1" applyProtection="1">
      <alignment horizontal="center" vertical="center"/>
      <protection hidden="1"/>
    </xf>
    <xf numFmtId="169" fontId="0" fillId="7" borderId="13" xfId="0" applyNumberFormat="1" applyFill="1" applyBorder="1" applyAlignment="1" applyProtection="1">
      <alignment horizontal="center"/>
      <protection hidden="1"/>
    </xf>
    <xf numFmtId="0" fontId="0" fillId="7" borderId="13" xfId="0" applyFill="1" applyBorder="1" applyAlignment="1" applyProtection="1">
      <alignment horizontal="center"/>
      <protection hidden="1"/>
    </xf>
    <xf numFmtId="169" fontId="29" fillId="23" borderId="12" xfId="34" applyNumberFormat="1" applyFont="1" applyBorder="1" applyProtection="1">
      <alignment horizontal="right" vertical="center" indent="1"/>
      <protection hidden="1"/>
    </xf>
    <xf numFmtId="169" fontId="50" fillId="23" borderId="12" xfId="34" applyNumberFormat="1" applyBorder="1" applyProtection="1">
      <alignment horizontal="right" vertical="center" indent="1"/>
      <protection hidden="1"/>
    </xf>
    <xf numFmtId="166" fontId="4" fillId="23" borderId="13" xfId="34" applyFont="1" applyBorder="1" applyProtection="1">
      <alignment horizontal="right" vertical="center" indent="1"/>
      <protection hidden="1"/>
    </xf>
    <xf numFmtId="167" fontId="0" fillId="0" borderId="17" xfId="24" applyNumberFormat="1" applyFont="1" applyBorder="1" applyAlignment="1" applyProtection="1">
      <alignment horizontal="center" vertical="center"/>
      <protection hidden="1"/>
    </xf>
    <xf numFmtId="167" fontId="0" fillId="0" borderId="15" xfId="24" applyNumberFormat="1" applyFont="1" applyBorder="1" applyAlignment="1" applyProtection="1">
      <alignment horizontal="center" vertical="center"/>
      <protection hidden="1"/>
    </xf>
    <xf numFmtId="167" fontId="0" fillId="0" borderId="3" xfId="24" applyNumberFormat="1" applyFont="1" applyBorder="1" applyAlignment="1" applyProtection="1">
      <alignment horizontal="center" vertical="center"/>
      <protection hidden="1"/>
    </xf>
    <xf numFmtId="0" fontId="0" fillId="0" borderId="0" xfId="0" applyAlignment="1" applyProtection="1">
      <alignment horizontal="left"/>
      <protection hidden="1"/>
    </xf>
    <xf numFmtId="169" fontId="29" fillId="17" borderId="34" xfId="1" applyNumberFormat="1" applyFont="1" applyBorder="1" applyProtection="1">
      <alignment horizontal="center" vertical="center"/>
      <protection hidden="1"/>
    </xf>
    <xf numFmtId="169" fontId="29" fillId="17" borderId="13" xfId="1" applyNumberFormat="1" applyFont="1" applyBorder="1" applyProtection="1">
      <alignment horizontal="center" vertical="center"/>
      <protection hidden="1"/>
    </xf>
    <xf numFmtId="173" fontId="4" fillId="23" borderId="13" xfId="34" applyNumberFormat="1" applyFont="1" applyBorder="1" applyProtection="1">
      <alignment horizontal="right" vertical="center" indent="1"/>
      <protection hidden="1"/>
    </xf>
    <xf numFmtId="173" fontId="4" fillId="23" borderId="13" xfId="34" applyNumberFormat="1" applyFont="1" applyBorder="1" applyAlignment="1" applyProtection="1">
      <alignment horizontal="center" vertical="center"/>
      <protection hidden="1"/>
    </xf>
    <xf numFmtId="173" fontId="1" fillId="23" borderId="12" xfId="34" applyNumberFormat="1" applyFont="1" applyBorder="1" applyProtection="1">
      <alignment horizontal="right" vertical="center" indent="1"/>
      <protection hidden="1"/>
    </xf>
    <xf numFmtId="166" fontId="29" fillId="23" borderId="12" xfId="34" quotePrefix="1" applyFont="1" applyBorder="1" applyProtection="1">
      <alignment horizontal="right" vertical="center" indent="1"/>
      <protection hidden="1"/>
    </xf>
    <xf numFmtId="166" fontId="4" fillId="23" borderId="12" xfId="34" applyFont="1" applyBorder="1" applyProtection="1">
      <alignment horizontal="right" vertical="center" indent="1"/>
      <protection hidden="1"/>
    </xf>
    <xf numFmtId="166" fontId="1" fillId="23" borderId="12" xfId="34" applyFont="1" applyBorder="1" applyProtection="1">
      <alignment horizontal="right" vertical="center" indent="1"/>
      <protection hidden="1"/>
    </xf>
    <xf numFmtId="0" fontId="39" fillId="0" borderId="0" xfId="31" applyFont="1" applyAlignment="1" applyProtection="1">
      <alignment horizontal="left" vertical="center"/>
      <protection hidden="1"/>
    </xf>
    <xf numFmtId="0" fontId="62" fillId="0" borderId="0" xfId="31" applyAlignment="1" applyProtection="1">
      <alignment horizontal="left" vertical="center"/>
      <protection hidden="1"/>
    </xf>
    <xf numFmtId="0" fontId="0" fillId="0" borderId="0" xfId="0" applyAlignment="1" applyProtection="1">
      <alignment vertical="center"/>
      <protection hidden="1"/>
    </xf>
    <xf numFmtId="3" fontId="1" fillId="2" borderId="0" xfId="5" applyProtection="1">
      <alignment horizontal="center" vertical="center"/>
      <protection locked="0"/>
    </xf>
    <xf numFmtId="0" fontId="63" fillId="0" borderId="0" xfId="32" applyAlignment="1" applyProtection="1">
      <alignment horizontal="left" vertical="center" wrapText="1"/>
      <protection hidden="1"/>
    </xf>
    <xf numFmtId="167" fontId="1" fillId="17" borderId="0" xfId="24" applyNumberFormat="1" applyFont="1" applyFill="1" applyBorder="1" applyAlignment="1" applyProtection="1">
      <alignment horizontal="center" vertical="center"/>
      <protection locked="0"/>
    </xf>
    <xf numFmtId="166" fontId="0" fillId="23" borderId="12" xfId="34" applyFont="1" applyBorder="1" applyProtection="1">
      <alignment horizontal="right" vertical="center" indent="1"/>
      <protection hidden="1"/>
    </xf>
    <xf numFmtId="0" fontId="14" fillId="0" borderId="13" xfId="45" applyBorder="1" applyAlignment="1" applyProtection="1">
      <alignment horizontal="left" vertical="center" wrapText="1"/>
      <protection hidden="1"/>
    </xf>
    <xf numFmtId="167" fontId="4" fillId="7" borderId="13" xfId="24" applyNumberFormat="1" applyFont="1" applyFill="1" applyBorder="1" applyAlignment="1" applyProtection="1">
      <alignment horizontal="center" vertical="center"/>
      <protection hidden="1"/>
    </xf>
    <xf numFmtId="166" fontId="4" fillId="7" borderId="13" xfId="37" applyFont="1" applyBorder="1" applyAlignment="1" applyProtection="1">
      <alignment horizontal="center" vertical="center"/>
      <protection hidden="1"/>
    </xf>
    <xf numFmtId="0" fontId="0" fillId="0" borderId="0" xfId="0" applyAlignment="1" applyProtection="1">
      <alignment horizontal="left" vertical="top" wrapText="1"/>
      <protection hidden="1"/>
    </xf>
    <xf numFmtId="0" fontId="65" fillId="0" borderId="13" xfId="40" applyBorder="1" applyProtection="1">
      <alignment vertical="center"/>
      <protection hidden="1"/>
    </xf>
    <xf numFmtId="0" fontId="25" fillId="0" borderId="0" xfId="0" applyFont="1" applyAlignment="1" applyProtection="1">
      <alignment horizontal="center" vertical="center"/>
      <protection hidden="1"/>
    </xf>
    <xf numFmtId="0" fontId="63" fillId="0" borderId="0" xfId="32" applyAlignment="1" applyProtection="1">
      <alignment vertical="center" wrapText="1"/>
      <protection hidden="1"/>
    </xf>
    <xf numFmtId="0" fontId="25" fillId="0" borderId="14" xfId="0" applyFont="1" applyBorder="1" applyAlignment="1" applyProtection="1">
      <alignment horizontal="center" vertical="center"/>
      <protection hidden="1"/>
    </xf>
    <xf numFmtId="0" fontId="13" fillId="0" borderId="12" xfId="47" applyBorder="1" applyAlignment="1" applyProtection="1">
      <alignment horizontal="left" vertical="center" wrapText="1"/>
      <protection hidden="1"/>
    </xf>
    <xf numFmtId="0" fontId="4" fillId="0" borderId="16"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40"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41" xfId="0" applyFont="1" applyBorder="1" applyAlignment="1" applyProtection="1">
      <alignment horizontal="center"/>
      <protection hidden="1"/>
    </xf>
    <xf numFmtId="0" fontId="66" fillId="0" borderId="13" xfId="43" applyBorder="1" applyAlignment="1" applyProtection="1">
      <alignment horizontal="left" vertical="center"/>
      <protection hidden="1"/>
    </xf>
    <xf numFmtId="0" fontId="103" fillId="0" borderId="72" xfId="0" applyFont="1" applyBorder="1" applyAlignment="1" applyProtection="1">
      <alignment horizontal="left" vertical="center" wrapText="1"/>
      <protection hidden="1"/>
    </xf>
    <xf numFmtId="0" fontId="103" fillId="0" borderId="73" xfId="0" applyFont="1" applyBorder="1" applyAlignment="1" applyProtection="1">
      <alignment horizontal="left" vertical="center" wrapText="1"/>
      <protection hidden="1"/>
    </xf>
    <xf numFmtId="0" fontId="103" fillId="0" borderId="74" xfId="0" applyFont="1" applyBorder="1" applyAlignment="1" applyProtection="1">
      <alignment horizontal="left" vertical="center" wrapText="1"/>
      <protection hidden="1"/>
    </xf>
    <xf numFmtId="0" fontId="103" fillId="0" borderId="75" xfId="0" applyFont="1" applyBorder="1" applyAlignment="1" applyProtection="1">
      <alignment horizontal="left" vertical="center" wrapText="1"/>
      <protection hidden="1"/>
    </xf>
    <xf numFmtId="0" fontId="103" fillId="0" borderId="0" xfId="0" applyFont="1" applyAlignment="1" applyProtection="1">
      <alignment horizontal="left" vertical="center" wrapText="1"/>
      <protection hidden="1"/>
    </xf>
    <xf numFmtId="0" fontId="103" fillId="0" borderId="76" xfId="0" applyFont="1" applyBorder="1" applyAlignment="1" applyProtection="1">
      <alignment horizontal="left" vertical="center" wrapText="1"/>
      <protection hidden="1"/>
    </xf>
    <xf numFmtId="0" fontId="103" fillId="0" borderId="77" xfId="0" applyFont="1" applyBorder="1" applyAlignment="1" applyProtection="1">
      <alignment horizontal="left" vertical="center" wrapText="1"/>
      <protection hidden="1"/>
    </xf>
    <xf numFmtId="0" fontId="103" fillId="0" borderId="78" xfId="0" applyFont="1" applyBorder="1" applyAlignment="1" applyProtection="1">
      <alignment horizontal="left" vertical="center" wrapText="1"/>
      <protection hidden="1"/>
    </xf>
    <xf numFmtId="0" fontId="103" fillId="0" borderId="79" xfId="0" applyFont="1" applyBorder="1" applyAlignment="1" applyProtection="1">
      <alignment horizontal="left" vertical="center" wrapText="1"/>
      <protection hidden="1"/>
    </xf>
    <xf numFmtId="0" fontId="34" fillId="0" borderId="0" xfId="32" applyFont="1" applyAlignment="1" applyProtection="1">
      <alignment horizontal="left" vertical="center"/>
      <protection hidden="1"/>
    </xf>
    <xf numFmtId="167" fontId="1" fillId="2" borderId="0" xfId="24" applyNumberFormat="1" applyFont="1" applyFill="1" applyBorder="1" applyAlignment="1" applyProtection="1">
      <alignment horizontal="center" vertical="center"/>
      <protection locked="0"/>
    </xf>
    <xf numFmtId="0" fontId="70" fillId="0" borderId="72" xfId="0" applyFont="1" applyBorder="1" applyAlignment="1" applyProtection="1">
      <alignment horizontal="center" wrapText="1"/>
      <protection hidden="1"/>
    </xf>
    <xf numFmtId="0" fontId="70" fillId="0" borderId="73" xfId="0" applyFont="1" applyBorder="1" applyAlignment="1" applyProtection="1">
      <alignment horizontal="center" wrapText="1"/>
      <protection hidden="1"/>
    </xf>
    <xf numFmtId="0" fontId="70" fillId="0" borderId="74" xfId="0" applyFont="1" applyBorder="1" applyAlignment="1" applyProtection="1">
      <alignment horizontal="center" wrapText="1"/>
      <protection hidden="1"/>
    </xf>
    <xf numFmtId="0" fontId="70" fillId="0" borderId="75" xfId="0" applyFont="1" applyBorder="1" applyAlignment="1" applyProtection="1">
      <alignment horizontal="center" wrapText="1"/>
      <protection hidden="1"/>
    </xf>
    <xf numFmtId="0" fontId="70" fillId="0" borderId="0" xfId="0" applyFont="1" applyAlignment="1" applyProtection="1">
      <alignment horizontal="center" wrapText="1"/>
      <protection hidden="1"/>
    </xf>
    <xf numFmtId="0" fontId="70" fillId="0" borderId="76" xfId="0" applyFont="1" applyBorder="1" applyAlignment="1" applyProtection="1">
      <alignment horizontal="center" wrapText="1"/>
      <protection hidden="1"/>
    </xf>
    <xf numFmtId="0" fontId="70" fillId="0" borderId="77" xfId="0" applyFont="1" applyBorder="1" applyAlignment="1" applyProtection="1">
      <alignment horizontal="center" wrapText="1"/>
      <protection hidden="1"/>
    </xf>
    <xf numFmtId="0" fontId="70" fillId="0" borderId="78" xfId="0" applyFont="1" applyBorder="1" applyAlignment="1" applyProtection="1">
      <alignment horizontal="center" wrapText="1"/>
      <protection hidden="1"/>
    </xf>
    <xf numFmtId="0" fontId="70" fillId="0" borderId="79" xfId="0" applyFont="1" applyBorder="1" applyAlignment="1" applyProtection="1">
      <alignment horizontal="center" wrapText="1"/>
      <protection hidden="1"/>
    </xf>
    <xf numFmtId="0" fontId="70" fillId="0" borderId="72" xfId="0" applyFont="1" applyBorder="1" applyAlignment="1" applyProtection="1">
      <alignment horizontal="left" wrapText="1"/>
      <protection hidden="1"/>
    </xf>
    <xf numFmtId="0" fontId="70" fillId="0" borderId="73" xfId="0" applyFont="1" applyBorder="1" applyAlignment="1" applyProtection="1">
      <alignment horizontal="left" wrapText="1"/>
      <protection hidden="1"/>
    </xf>
    <xf numFmtId="0" fontId="70" fillId="0" borderId="74" xfId="0" applyFont="1" applyBorder="1" applyAlignment="1" applyProtection="1">
      <alignment horizontal="left" wrapText="1"/>
      <protection hidden="1"/>
    </xf>
    <xf numFmtId="0" fontId="70" fillId="0" borderId="77" xfId="0" applyFont="1" applyBorder="1" applyAlignment="1" applyProtection="1">
      <alignment horizontal="left" wrapText="1"/>
      <protection hidden="1"/>
    </xf>
    <xf numFmtId="0" fontId="70" fillId="0" borderId="78" xfId="0" applyFont="1" applyBorder="1" applyAlignment="1" applyProtection="1">
      <alignment horizontal="left" wrapText="1"/>
      <protection hidden="1"/>
    </xf>
    <xf numFmtId="0" fontId="70" fillId="0" borderId="79" xfId="0" applyFont="1" applyBorder="1" applyAlignment="1" applyProtection="1">
      <alignment horizontal="left" wrapText="1"/>
      <protection hidden="1"/>
    </xf>
    <xf numFmtId="0" fontId="70" fillId="0" borderId="72" xfId="0" applyFont="1" applyBorder="1" applyAlignment="1" applyProtection="1">
      <alignment horizontal="center" vertical="center" wrapText="1"/>
      <protection hidden="1"/>
    </xf>
    <xf numFmtId="0" fontId="70" fillId="0" borderId="73" xfId="0" applyFont="1" applyBorder="1" applyAlignment="1" applyProtection="1">
      <alignment horizontal="center" vertical="center" wrapText="1"/>
      <protection hidden="1"/>
    </xf>
    <xf numFmtId="0" fontId="70" fillId="0" borderId="74" xfId="0" applyFont="1" applyBorder="1" applyAlignment="1" applyProtection="1">
      <alignment horizontal="center" vertical="center" wrapText="1"/>
      <protection hidden="1"/>
    </xf>
    <xf numFmtId="0" fontId="70" fillId="0" borderId="77" xfId="0" applyFont="1" applyBorder="1" applyAlignment="1" applyProtection="1">
      <alignment horizontal="center" vertical="center" wrapText="1"/>
      <protection hidden="1"/>
    </xf>
    <xf numFmtId="0" fontId="70" fillId="0" borderId="78" xfId="0" applyFont="1" applyBorder="1" applyAlignment="1" applyProtection="1">
      <alignment horizontal="center" vertical="center" wrapText="1"/>
      <protection hidden="1"/>
    </xf>
    <xf numFmtId="0" fontId="70" fillId="0" borderId="79" xfId="0" applyFont="1" applyBorder="1" applyAlignment="1" applyProtection="1">
      <alignment horizontal="center" vertical="center" wrapText="1"/>
      <protection hidden="1"/>
    </xf>
    <xf numFmtId="0" fontId="4" fillId="0" borderId="0" xfId="0" applyFont="1" applyAlignment="1" applyProtection="1">
      <alignment horizontal="left"/>
      <protection hidden="1"/>
    </xf>
    <xf numFmtId="0" fontId="34" fillId="0" borderId="0" xfId="32" applyFont="1" applyAlignment="1" applyProtection="1">
      <alignment vertical="center" wrapText="1"/>
      <protection hidden="1"/>
    </xf>
    <xf numFmtId="169" fontId="29" fillId="17" borderId="40" xfId="1" applyNumberFormat="1" applyFont="1" applyBorder="1" applyProtection="1">
      <alignment horizontal="center" vertical="center"/>
      <protection hidden="1"/>
    </xf>
    <xf numFmtId="169" fontId="29" fillId="17" borderId="12" xfId="1" applyNumberFormat="1" applyFont="1" applyBorder="1" applyProtection="1">
      <alignment horizontal="center" vertical="center"/>
      <protection hidden="1"/>
    </xf>
    <xf numFmtId="0" fontId="29" fillId="14" borderId="12" xfId="1" applyNumberFormat="1" applyFont="1" applyFill="1" applyBorder="1" applyProtection="1">
      <alignment horizontal="center" vertical="center"/>
      <protection locked="0"/>
    </xf>
    <xf numFmtId="0" fontId="50" fillId="14" borderId="12" xfId="1" applyNumberFormat="1" applyFill="1" applyBorder="1" applyProtection="1">
      <alignment horizontal="center" vertical="center"/>
      <protection locked="0"/>
    </xf>
    <xf numFmtId="167" fontId="29" fillId="7" borderId="12" xfId="24" applyNumberFormat="1" applyFont="1" applyFill="1" applyBorder="1" applyAlignment="1" applyProtection="1">
      <alignment horizontal="center" vertical="center"/>
      <protection hidden="1"/>
    </xf>
    <xf numFmtId="0" fontId="50" fillId="17" borderId="12" xfId="1" applyNumberFormat="1" applyBorder="1" applyProtection="1">
      <alignment horizontal="center" vertical="center"/>
      <protection locked="0"/>
    </xf>
    <xf numFmtId="167" fontId="29" fillId="2" borderId="12" xfId="24" applyNumberFormat="1" applyFont="1" applyFill="1" applyBorder="1" applyAlignment="1" applyProtection="1">
      <alignment horizontal="center" vertical="center"/>
      <protection locked="0"/>
    </xf>
    <xf numFmtId="0" fontId="39" fillId="0" borderId="0" xfId="31" applyFont="1" applyProtection="1">
      <alignment vertical="center"/>
      <protection hidden="1"/>
    </xf>
    <xf numFmtId="0" fontId="9" fillId="0" borderId="0" xfId="32" applyFont="1" applyAlignment="1" applyProtection="1">
      <alignment horizontal="center" vertical="center"/>
      <protection hidden="1"/>
    </xf>
    <xf numFmtId="3" fontId="50" fillId="17" borderId="0" xfId="1" applyProtection="1">
      <alignment horizontal="center" vertical="center"/>
      <protection locked="0"/>
    </xf>
    <xf numFmtId="3" fontId="29" fillId="2" borderId="0" xfId="24" applyNumberFormat="1" applyFont="1" applyFill="1" applyBorder="1" applyAlignment="1" applyProtection="1">
      <alignment horizontal="center" vertical="center"/>
      <protection locked="0"/>
    </xf>
    <xf numFmtId="0" fontId="0" fillId="17" borderId="12" xfId="1" applyNumberFormat="1" applyFont="1" applyBorder="1" applyProtection="1">
      <alignment horizontal="center" vertical="center"/>
      <protection locked="0"/>
    </xf>
    <xf numFmtId="175" fontId="50" fillId="17" borderId="12" xfId="1" applyNumberFormat="1" applyBorder="1" applyProtection="1">
      <alignment horizontal="center" vertical="center"/>
      <protection locked="0"/>
    </xf>
    <xf numFmtId="0" fontId="4" fillId="0" borderId="0" xfId="39" applyFont="1" applyAlignment="1" applyProtection="1">
      <alignment horizontal="center" vertical="center" wrapText="1"/>
      <protection hidden="1"/>
    </xf>
    <xf numFmtId="0" fontId="34" fillId="0" borderId="0" xfId="32" applyFont="1" applyAlignment="1" applyProtection="1">
      <alignment horizontal="left" vertical="center" wrapText="1"/>
      <protection hidden="1"/>
    </xf>
    <xf numFmtId="3" fontId="41" fillId="17" borderId="0" xfId="1" applyFont="1" applyProtection="1">
      <alignment horizontal="center" vertical="center"/>
      <protection locked="0"/>
    </xf>
    <xf numFmtId="0" fontId="110" fillId="0" borderId="161" xfId="32" applyFont="1" applyBorder="1" applyAlignment="1" applyProtection="1">
      <alignment horizontal="left" vertical="center"/>
      <protection hidden="1"/>
    </xf>
    <xf numFmtId="0" fontId="110" fillId="0" borderId="162" xfId="32" applyFont="1" applyBorder="1" applyAlignment="1" applyProtection="1">
      <alignment horizontal="left" vertical="center"/>
      <protection hidden="1"/>
    </xf>
    <xf numFmtId="0" fontId="110" fillId="0" borderId="163" xfId="32" applyFont="1" applyBorder="1" applyAlignment="1" applyProtection="1">
      <alignment horizontal="left" vertical="center"/>
      <protection hidden="1"/>
    </xf>
    <xf numFmtId="0" fontId="1" fillId="0" borderId="0" xfId="0" applyFont="1" applyAlignment="1" applyProtection="1">
      <alignment horizontal="center"/>
      <protection hidden="1"/>
    </xf>
    <xf numFmtId="166" fontId="50" fillId="23" borderId="13" xfId="34" applyBorder="1" applyProtection="1">
      <alignment horizontal="right" vertical="center" indent="1"/>
      <protection hidden="1"/>
    </xf>
    <xf numFmtId="0" fontId="8" fillId="9" borderId="30" xfId="0" applyFont="1" applyFill="1" applyBorder="1" applyAlignment="1" applyProtection="1">
      <alignment horizontal="center"/>
      <protection hidden="1"/>
    </xf>
    <xf numFmtId="0" fontId="8" fillId="9" borderId="42" xfId="0" applyFont="1" applyFill="1" applyBorder="1" applyAlignment="1" applyProtection="1">
      <alignment horizontal="center"/>
      <protection hidden="1"/>
    </xf>
    <xf numFmtId="0" fontId="8" fillId="9" borderId="6" xfId="0" applyFont="1" applyFill="1" applyBorder="1" applyAlignment="1" applyProtection="1">
      <alignment horizontal="center"/>
      <protection hidden="1"/>
    </xf>
    <xf numFmtId="0" fontId="0" fillId="18" borderId="82" xfId="0" applyFill="1" applyBorder="1" applyAlignment="1" applyProtection="1">
      <alignment horizontal="center" wrapText="1"/>
      <protection hidden="1"/>
    </xf>
    <xf numFmtId="0" fontId="0" fillId="18" borderId="83" xfId="0" applyFill="1" applyBorder="1" applyAlignment="1" applyProtection="1">
      <alignment horizontal="center" wrapText="1"/>
      <protection hidden="1"/>
    </xf>
    <xf numFmtId="0" fontId="0" fillId="18" borderId="84" xfId="0" applyFill="1" applyBorder="1" applyAlignment="1" applyProtection="1">
      <alignment horizontal="center" wrapText="1"/>
      <protection hidden="1"/>
    </xf>
    <xf numFmtId="166" fontId="1" fillId="17" borderId="0" xfId="37" applyFill="1" applyProtection="1">
      <alignment horizontal="right" vertical="center" indent="1"/>
      <protection locked="0"/>
    </xf>
    <xf numFmtId="0" fontId="71" fillId="0" borderId="72" xfId="0" applyFont="1" applyBorder="1" applyAlignment="1" applyProtection="1">
      <alignment horizontal="center" vertical="center" wrapText="1"/>
      <protection hidden="1"/>
    </xf>
    <xf numFmtId="0" fontId="71" fillId="0" borderId="73" xfId="0" applyFont="1" applyBorder="1" applyAlignment="1" applyProtection="1">
      <alignment horizontal="center" vertical="center" wrapText="1"/>
      <protection hidden="1"/>
    </xf>
    <xf numFmtId="0" fontId="71" fillId="0" borderId="74" xfId="0" applyFont="1" applyBorder="1" applyAlignment="1" applyProtection="1">
      <alignment horizontal="center" vertical="center" wrapText="1"/>
      <protection hidden="1"/>
    </xf>
    <xf numFmtId="0" fontId="71" fillId="0" borderId="77" xfId="0" applyFont="1" applyBorder="1" applyAlignment="1" applyProtection="1">
      <alignment horizontal="center" vertical="center" wrapText="1"/>
      <protection hidden="1"/>
    </xf>
    <xf numFmtId="0" fontId="71" fillId="0" borderId="78" xfId="0" applyFont="1" applyBorder="1" applyAlignment="1" applyProtection="1">
      <alignment horizontal="center" vertical="center" wrapText="1"/>
      <protection hidden="1"/>
    </xf>
    <xf numFmtId="0" fontId="71" fillId="0" borderId="79" xfId="0" applyFont="1" applyBorder="1" applyAlignment="1" applyProtection="1">
      <alignment horizontal="center" vertical="center" wrapText="1"/>
      <protection hidden="1"/>
    </xf>
    <xf numFmtId="0" fontId="39" fillId="0" borderId="0" xfId="31" applyFont="1" applyAlignment="1" applyProtection="1">
      <alignment horizontal="left" vertical="center" wrapText="1"/>
      <protection hidden="1"/>
    </xf>
    <xf numFmtId="0" fontId="0" fillId="0" borderId="25" xfId="0" applyBorder="1" applyAlignment="1" applyProtection="1">
      <alignment horizontal="center"/>
      <protection locked="0"/>
    </xf>
    <xf numFmtId="0" fontId="0" fillId="0" borderId="25" xfId="0" applyBorder="1" applyAlignment="1" applyProtection="1">
      <alignment horizontal="left"/>
      <protection locked="0"/>
    </xf>
    <xf numFmtId="0" fontId="4" fillId="0" borderId="12" xfId="0" applyFont="1" applyBorder="1" applyAlignment="1" applyProtection="1">
      <alignment horizontal="left"/>
      <protection hidden="1"/>
    </xf>
    <xf numFmtId="0" fontId="1" fillId="14" borderId="12" xfId="1" applyNumberFormat="1" applyFont="1" applyFill="1" applyBorder="1" applyProtection="1">
      <alignment horizontal="center" vertical="center"/>
      <protection locked="0"/>
    </xf>
    <xf numFmtId="0" fontId="24" fillId="31" borderId="112" xfId="49" applyBorder="1" applyProtection="1">
      <alignment vertical="center"/>
      <protection hidden="1"/>
    </xf>
    <xf numFmtId="0" fontId="6" fillId="0" borderId="112" xfId="0" applyFont="1" applyBorder="1" applyAlignment="1" applyProtection="1">
      <alignment horizontal="left" vertical="center" wrapText="1" indent="1"/>
      <protection hidden="1"/>
    </xf>
    <xf numFmtId="0" fontId="6" fillId="0" borderId="113" xfId="0" applyFont="1" applyBorder="1" applyAlignment="1" applyProtection="1">
      <alignment horizontal="left" vertical="center" wrapText="1" indent="1"/>
      <protection hidden="1"/>
    </xf>
    <xf numFmtId="0" fontId="6" fillId="0" borderId="114" xfId="0" applyFont="1" applyBorder="1" applyAlignment="1" applyProtection="1">
      <alignment horizontal="left" vertical="center" wrapText="1" indent="1"/>
      <protection hidden="1"/>
    </xf>
    <xf numFmtId="0" fontId="6" fillId="0" borderId="115" xfId="0" applyFont="1" applyBorder="1" applyAlignment="1" applyProtection="1">
      <alignment horizontal="left" vertical="center" wrapText="1" indent="1"/>
      <protection hidden="1"/>
    </xf>
    <xf numFmtId="0" fontId="6" fillId="0" borderId="0" xfId="0" applyFont="1" applyAlignment="1" applyProtection="1">
      <alignment horizontal="left" vertical="center" wrapText="1" indent="1"/>
      <protection hidden="1"/>
    </xf>
    <xf numFmtId="0" fontId="6" fillId="0" borderId="116" xfId="0" applyFont="1" applyBorder="1" applyAlignment="1" applyProtection="1">
      <alignment horizontal="left" vertical="center" wrapText="1" indent="1"/>
      <protection hidden="1"/>
    </xf>
    <xf numFmtId="0" fontId="6" fillId="0" borderId="117" xfId="0" applyFont="1" applyBorder="1" applyAlignment="1" applyProtection="1">
      <alignment horizontal="left" vertical="center" wrapText="1" indent="1"/>
      <protection hidden="1"/>
    </xf>
    <xf numFmtId="0" fontId="6" fillId="0" borderId="118" xfId="0" applyFont="1" applyBorder="1" applyAlignment="1" applyProtection="1">
      <alignment horizontal="left" vertical="center" wrapText="1" indent="1"/>
      <protection hidden="1"/>
    </xf>
    <xf numFmtId="0" fontId="6" fillId="0" borderId="119" xfId="0" applyFont="1" applyBorder="1" applyAlignment="1" applyProtection="1">
      <alignment horizontal="left" vertical="center" wrapText="1" indent="1"/>
      <protection hidden="1"/>
    </xf>
    <xf numFmtId="174" fontId="1" fillId="7" borderId="13" xfId="1" applyNumberFormat="1" applyFont="1" applyFill="1" applyBorder="1" applyProtection="1">
      <alignment horizontal="center" vertical="center"/>
      <protection hidden="1"/>
    </xf>
    <xf numFmtId="174" fontId="1" fillId="17" borderId="12" xfId="1" applyNumberFormat="1" applyFont="1" applyBorder="1" applyProtection="1">
      <alignment horizontal="center" vertical="center"/>
      <protection locked="0"/>
    </xf>
    <xf numFmtId="0" fontId="63" fillId="0" borderId="0" xfId="32" applyAlignment="1" applyProtection="1">
      <alignment horizontal="left" vertical="center"/>
      <protection hidden="1"/>
    </xf>
    <xf numFmtId="0" fontId="102" fillId="0" borderId="0" xfId="45" applyFont="1" applyAlignment="1" applyProtection="1">
      <alignment horizontal="center" vertical="center" wrapText="1"/>
      <protection hidden="1"/>
    </xf>
    <xf numFmtId="0" fontId="8" fillId="0" borderId="0" xfId="38" applyFont="1" applyProtection="1">
      <alignment horizontal="center" vertical="center"/>
      <protection hidden="1"/>
    </xf>
    <xf numFmtId="172" fontId="1" fillId="17" borderId="12" xfId="1" applyNumberFormat="1" applyFont="1" applyBorder="1" applyAlignment="1" applyProtection="1">
      <alignment horizontal="right" vertical="center" indent="1"/>
      <protection locked="0"/>
    </xf>
    <xf numFmtId="166" fontId="29" fillId="17" borderId="13" xfId="1" applyNumberFormat="1" applyFont="1" applyBorder="1" applyAlignment="1" applyProtection="1">
      <alignment horizontal="right" vertical="center" indent="1"/>
      <protection locked="0"/>
    </xf>
    <xf numFmtId="0" fontId="35" fillId="13" borderId="0" xfId="38" applyFont="1" applyFill="1" applyProtection="1">
      <alignment horizontal="center" vertical="center"/>
      <protection hidden="1"/>
    </xf>
    <xf numFmtId="174" fontId="1" fillId="17" borderId="13" xfId="1" applyNumberFormat="1" applyFont="1" applyBorder="1" applyProtection="1">
      <alignment horizontal="center" vertical="center"/>
      <protection locked="0"/>
    </xf>
    <xf numFmtId="0" fontId="64" fillId="0" borderId="157" xfId="38" applyBorder="1" applyProtection="1">
      <alignment horizontal="center" vertical="center"/>
      <protection hidden="1"/>
    </xf>
    <xf numFmtId="0" fontId="8" fillId="0" borderId="148" xfId="38" applyFont="1" applyBorder="1" applyProtection="1">
      <alignment horizontal="center" vertical="center"/>
      <protection hidden="1"/>
    </xf>
    <xf numFmtId="0" fontId="9" fillId="0" borderId="0" xfId="0" applyFont="1" applyAlignment="1" applyProtection="1">
      <alignment horizontal="center"/>
      <protection hidden="1"/>
    </xf>
    <xf numFmtId="174" fontId="1" fillId="7" borderId="12" xfId="1" applyNumberFormat="1" applyFont="1" applyFill="1" applyBorder="1" applyProtection="1">
      <alignment horizontal="center" vertical="center"/>
      <protection hidden="1"/>
    </xf>
    <xf numFmtId="3" fontId="41" fillId="0" borderId="0" xfId="0" applyNumberFormat="1" applyFont="1" applyAlignment="1" applyProtection="1">
      <alignment horizontal="right"/>
      <protection hidden="1"/>
    </xf>
    <xf numFmtId="172" fontId="41" fillId="0" borderId="0" xfId="0" applyNumberFormat="1" applyFont="1" applyAlignment="1" applyProtection="1">
      <alignment horizontal="center"/>
      <protection hidden="1"/>
    </xf>
    <xf numFmtId="0" fontId="0" fillId="0" borderId="0" xfId="0" applyAlignment="1">
      <alignment vertical="center"/>
    </xf>
    <xf numFmtId="0" fontId="0" fillId="0" borderId="0" xfId="0"/>
    <xf numFmtId="0" fontId="103" fillId="0" borderId="139" xfId="25" applyFont="1" applyBorder="1" applyAlignment="1" applyProtection="1">
      <alignment horizontal="center" vertical="center" wrapText="1"/>
      <protection hidden="1"/>
    </xf>
    <xf numFmtId="0" fontId="103" fillId="0" borderId="140" xfId="25" applyFont="1" applyBorder="1" applyAlignment="1" applyProtection="1">
      <alignment horizontal="center" vertical="center" wrapText="1"/>
      <protection hidden="1"/>
    </xf>
    <xf numFmtId="0" fontId="103" fillId="0" borderId="141" xfId="25" applyFont="1" applyBorder="1" applyAlignment="1" applyProtection="1">
      <alignment horizontal="center" vertical="center" wrapText="1"/>
      <protection hidden="1"/>
    </xf>
    <xf numFmtId="0" fontId="103" fillId="0" borderId="142" xfId="25" applyFont="1" applyBorder="1" applyAlignment="1" applyProtection="1">
      <alignment horizontal="center" vertical="center" wrapText="1"/>
      <protection hidden="1"/>
    </xf>
    <xf numFmtId="0" fontId="103" fillId="0" borderId="0" xfId="25" applyFont="1" applyAlignment="1" applyProtection="1">
      <alignment horizontal="center" vertical="center" wrapText="1"/>
      <protection hidden="1"/>
    </xf>
    <xf numFmtId="0" fontId="103" fillId="0" borderId="143" xfId="25" applyFont="1" applyBorder="1" applyAlignment="1" applyProtection="1">
      <alignment horizontal="center" vertical="center" wrapText="1"/>
      <protection hidden="1"/>
    </xf>
    <xf numFmtId="0" fontId="103" fillId="0" borderId="144" xfId="25" applyFont="1" applyBorder="1" applyAlignment="1" applyProtection="1">
      <alignment horizontal="center" vertical="center" wrapText="1"/>
      <protection hidden="1"/>
    </xf>
    <xf numFmtId="0" fontId="103" fillId="0" borderId="145" xfId="25" applyFont="1" applyBorder="1" applyAlignment="1" applyProtection="1">
      <alignment horizontal="center" vertical="center" wrapText="1"/>
      <protection hidden="1"/>
    </xf>
    <xf numFmtId="0" fontId="103" fillId="0" borderId="146" xfId="25" applyFont="1" applyBorder="1" applyAlignment="1" applyProtection="1">
      <alignment horizontal="center" vertical="center" wrapText="1"/>
      <protection hidden="1"/>
    </xf>
    <xf numFmtId="0" fontId="8" fillId="0" borderId="0" xfId="38" applyFont="1" applyAlignment="1" applyProtection="1">
      <alignment horizontal="center" vertical="center" wrapText="1"/>
      <protection hidden="1"/>
    </xf>
    <xf numFmtId="0" fontId="64" fillId="0" borderId="0" xfId="38" applyAlignment="1" applyProtection="1">
      <alignment horizontal="center" vertical="center" wrapText="1"/>
      <protection hidden="1"/>
    </xf>
    <xf numFmtId="0" fontId="35" fillId="0" borderId="0" xfId="38" applyFont="1" applyAlignment="1" applyProtection="1">
      <alignment horizontal="center" vertical="center" wrapText="1"/>
      <protection hidden="1"/>
    </xf>
    <xf numFmtId="168" fontId="74" fillId="24" borderId="0" xfId="5" applyNumberFormat="1" applyFont="1" applyFill="1" applyProtection="1">
      <alignment horizontal="center" vertical="center"/>
      <protection hidden="1"/>
    </xf>
    <xf numFmtId="0" fontId="41" fillId="0" borderId="121" xfId="0" applyFont="1" applyBorder="1" applyAlignment="1" applyProtection="1">
      <alignment horizontal="center"/>
      <protection hidden="1"/>
    </xf>
    <xf numFmtId="0" fontId="35" fillId="0" borderId="121" xfId="38" applyFont="1" applyBorder="1" applyProtection="1">
      <alignment horizontal="center" vertical="center"/>
      <protection hidden="1"/>
    </xf>
    <xf numFmtId="0" fontId="4" fillId="0" borderId="0" xfId="38" applyFont="1" applyAlignment="1" applyProtection="1">
      <alignment horizontal="center" vertical="center" wrapText="1"/>
      <protection hidden="1"/>
    </xf>
    <xf numFmtId="0" fontId="4" fillId="0" borderId="121" xfId="38" applyFont="1" applyBorder="1" applyAlignment="1" applyProtection="1">
      <alignment horizontal="center" vertical="center" wrapText="1"/>
      <protection hidden="1"/>
    </xf>
    <xf numFmtId="0" fontId="64" fillId="0" borderId="0" xfId="0" applyFont="1" applyAlignment="1" applyProtection="1">
      <alignment horizontal="center"/>
      <protection hidden="1"/>
    </xf>
    <xf numFmtId="166" fontId="0" fillId="23" borderId="12" xfId="34" quotePrefix="1" applyFont="1" applyBorder="1" applyProtection="1">
      <alignment horizontal="right" vertical="center" indent="1"/>
      <protection hidden="1"/>
    </xf>
    <xf numFmtId="0" fontId="70" fillId="0" borderId="72" xfId="0" applyFont="1" applyBorder="1" applyAlignment="1" applyProtection="1">
      <alignment horizontal="left" vertical="top" wrapText="1"/>
      <protection hidden="1"/>
    </xf>
    <xf numFmtId="0" fontId="70" fillId="0" borderId="73" xfId="0" applyFont="1" applyBorder="1" applyAlignment="1" applyProtection="1">
      <alignment horizontal="left" vertical="top" wrapText="1"/>
      <protection hidden="1"/>
    </xf>
    <xf numFmtId="0" fontId="70" fillId="0" borderId="74" xfId="0" applyFont="1" applyBorder="1" applyAlignment="1" applyProtection="1">
      <alignment horizontal="left" vertical="top" wrapText="1"/>
      <protection hidden="1"/>
    </xf>
    <xf numFmtId="0" fontId="70" fillId="0" borderId="75" xfId="0" applyFont="1" applyBorder="1" applyAlignment="1" applyProtection="1">
      <alignment horizontal="left" vertical="top" wrapText="1"/>
      <protection hidden="1"/>
    </xf>
    <xf numFmtId="0" fontId="70" fillId="0" borderId="0" xfId="0" applyFont="1" applyAlignment="1" applyProtection="1">
      <alignment horizontal="left" vertical="top" wrapText="1"/>
      <protection hidden="1"/>
    </xf>
    <xf numFmtId="0" fontId="70" fillId="0" borderId="76" xfId="0" applyFont="1" applyBorder="1" applyAlignment="1" applyProtection="1">
      <alignment horizontal="left" vertical="top" wrapText="1"/>
      <protection hidden="1"/>
    </xf>
    <xf numFmtId="0" fontId="70" fillId="0" borderId="77" xfId="0" applyFont="1" applyBorder="1" applyAlignment="1" applyProtection="1">
      <alignment horizontal="left" vertical="top" wrapText="1"/>
      <protection hidden="1"/>
    </xf>
    <xf numFmtId="0" fontId="70" fillId="0" borderId="78" xfId="0" applyFont="1" applyBorder="1" applyAlignment="1" applyProtection="1">
      <alignment horizontal="left" vertical="top" wrapText="1"/>
      <protection hidden="1"/>
    </xf>
    <xf numFmtId="0" fontId="70" fillId="0" borderId="79" xfId="0" applyFont="1" applyBorder="1" applyAlignment="1" applyProtection="1">
      <alignment horizontal="left" vertical="top" wrapText="1"/>
      <protection hidden="1"/>
    </xf>
    <xf numFmtId="166" fontId="4" fillId="7" borderId="13" xfId="37" quotePrefix="1" applyFont="1" applyBorder="1" applyAlignment="1" applyProtection="1">
      <alignment horizontal="center" vertical="center"/>
      <protection hidden="1"/>
    </xf>
    <xf numFmtId="20" fontId="14" fillId="0" borderId="12" xfId="45" applyNumberFormat="1" applyBorder="1" applyAlignment="1" applyProtection="1">
      <alignment horizontal="left" vertical="center" wrapText="1"/>
      <protection hidden="1"/>
    </xf>
    <xf numFmtId="0" fontId="65" fillId="0" borderId="103" xfId="40" applyBorder="1" applyAlignment="1" applyProtection="1">
      <alignment horizontal="left" vertical="center"/>
      <protection hidden="1"/>
    </xf>
    <xf numFmtId="0" fontId="68" fillId="0" borderId="90" xfId="0" applyFont="1" applyBorder="1" applyAlignment="1" applyProtection="1">
      <alignment horizontal="center"/>
      <protection hidden="1"/>
    </xf>
    <xf numFmtId="0" fontId="68" fillId="0" borderId="10" xfId="0" applyFont="1" applyBorder="1" applyAlignment="1" applyProtection="1">
      <alignment horizontal="center"/>
      <protection hidden="1"/>
    </xf>
    <xf numFmtId="0" fontId="68" fillId="0" borderId="92" xfId="0" applyFont="1" applyBorder="1" applyAlignment="1" applyProtection="1">
      <alignment horizontal="center"/>
      <protection hidden="1"/>
    </xf>
    <xf numFmtId="167" fontId="50" fillId="23" borderId="93" xfId="34" applyNumberFormat="1" applyBorder="1" applyAlignment="1" applyProtection="1">
      <alignment horizontal="center" vertical="center"/>
      <protection hidden="1"/>
    </xf>
    <xf numFmtId="167" fontId="50" fillId="23" borderId="94" xfId="34" applyNumberFormat="1" applyBorder="1" applyAlignment="1" applyProtection="1">
      <alignment horizontal="center" vertical="center"/>
      <protection hidden="1"/>
    </xf>
    <xf numFmtId="167" fontId="50" fillId="23" borderId="95" xfId="34" applyNumberFormat="1" applyBorder="1" applyAlignment="1" applyProtection="1">
      <alignment horizontal="center" vertical="center"/>
      <protection hidden="1"/>
    </xf>
    <xf numFmtId="0" fontId="4" fillId="0" borderId="0" xfId="0" applyFont="1" applyAlignment="1" applyProtection="1">
      <alignment horizontal="center" wrapText="1"/>
      <protection hidden="1"/>
    </xf>
    <xf numFmtId="169" fontId="4" fillId="23" borderId="104" xfId="34" applyNumberFormat="1" applyFont="1" applyBorder="1" applyProtection="1">
      <alignment horizontal="right" vertical="center" indent="1"/>
      <protection hidden="1"/>
    </xf>
    <xf numFmtId="0" fontId="68" fillId="0" borderId="120" xfId="0" applyFont="1" applyBorder="1" applyAlignment="1" applyProtection="1">
      <alignment horizontal="center"/>
      <protection hidden="1"/>
    </xf>
    <xf numFmtId="0" fontId="68" fillId="0" borderId="121" xfId="0" applyFont="1" applyBorder="1" applyAlignment="1" applyProtection="1">
      <alignment horizontal="center"/>
      <protection hidden="1"/>
    </xf>
    <xf numFmtId="169" fontId="0" fillId="23" borderId="12" xfId="34" applyNumberFormat="1" applyFont="1" applyBorder="1" applyProtection="1">
      <alignment horizontal="right" vertical="center" indent="1"/>
      <protection hidden="1"/>
    </xf>
    <xf numFmtId="166" fontId="50" fillId="23" borderId="40" xfId="34" applyBorder="1" applyProtection="1">
      <alignment horizontal="right" vertical="center" indent="1"/>
      <protection hidden="1"/>
    </xf>
    <xf numFmtId="166" fontId="50" fillId="23" borderId="41" xfId="34" applyBorder="1" applyProtection="1">
      <alignment horizontal="right" vertical="center" indent="1"/>
      <protection hidden="1"/>
    </xf>
    <xf numFmtId="164" fontId="4" fillId="23" borderId="103" xfId="34" applyNumberFormat="1" applyFont="1" applyBorder="1" applyProtection="1">
      <alignment horizontal="right" vertical="center" indent="1"/>
      <protection hidden="1"/>
    </xf>
    <xf numFmtId="169" fontId="4" fillId="23" borderId="150" xfId="34" applyNumberFormat="1" applyFont="1" applyBorder="1" applyAlignment="1" applyProtection="1">
      <alignment horizontal="center" vertical="center"/>
      <protection hidden="1"/>
    </xf>
    <xf numFmtId="173" fontId="1" fillId="23" borderId="13" xfId="34" applyNumberFormat="1" applyFont="1" applyBorder="1" applyProtection="1">
      <alignment horizontal="right" vertical="center" indent="1"/>
      <protection hidden="1"/>
    </xf>
    <xf numFmtId="173" fontId="1" fillId="23" borderId="13" xfId="34" applyNumberFormat="1" applyFont="1" applyBorder="1" applyAlignment="1" applyProtection="1">
      <alignment horizontal="center" vertical="center"/>
      <protection hidden="1"/>
    </xf>
    <xf numFmtId="0" fontId="68" fillId="0" borderId="94" xfId="0" applyFont="1" applyBorder="1" applyAlignment="1" applyProtection="1">
      <alignment horizontal="center"/>
      <protection hidden="1"/>
    </xf>
    <xf numFmtId="166" fontId="0" fillId="0" borderId="0" xfId="0" applyNumberFormat="1" applyAlignment="1" applyProtection="1">
      <alignment horizontal="center"/>
      <protection hidden="1"/>
    </xf>
    <xf numFmtId="0" fontId="62" fillId="0" borderId="0" xfId="31" applyAlignment="1" applyProtection="1">
      <alignment horizontal="left" vertical="center" wrapText="1"/>
      <protection hidden="1"/>
    </xf>
    <xf numFmtId="0" fontId="99" fillId="0" borderId="0" xfId="0" applyFont="1" applyAlignment="1" applyProtection="1">
      <alignment horizontal="center" vertical="top" wrapText="1"/>
      <protection hidden="1"/>
    </xf>
    <xf numFmtId="0" fontId="111" fillId="0" borderId="161" xfId="0" applyFont="1" applyBorder="1" applyAlignment="1" applyProtection="1">
      <alignment horizontal="left"/>
      <protection hidden="1"/>
    </xf>
    <xf numFmtId="0" fontId="111" fillId="0" borderId="162" xfId="0" applyFont="1" applyBorder="1" applyAlignment="1" applyProtection="1">
      <alignment horizontal="left"/>
      <protection hidden="1"/>
    </xf>
    <xf numFmtId="0" fontId="111" fillId="0" borderId="163" xfId="0" applyFont="1" applyBorder="1" applyAlignment="1" applyProtection="1">
      <alignment horizontal="left"/>
      <protection hidden="1"/>
    </xf>
    <xf numFmtId="0" fontId="99" fillId="0" borderId="0" xfId="51" applyFont="1" applyAlignment="1">
      <alignment horizontal="center" vertical="center" wrapText="1"/>
      <protection hidden="1"/>
    </xf>
    <xf numFmtId="0" fontId="9" fillId="0" borderId="0" xfId="32" applyFont="1" applyAlignment="1" applyProtection="1">
      <alignment horizontal="left" vertical="center"/>
      <protection hidden="1"/>
    </xf>
    <xf numFmtId="3" fontId="29" fillId="17" borderId="0" xfId="1" applyFont="1" applyProtection="1">
      <alignment horizontal="center" vertical="center"/>
      <protection locked="0"/>
    </xf>
    <xf numFmtId="0" fontId="99" fillId="0" borderId="0" xfId="51" applyFont="1" applyAlignment="1">
      <alignment horizontal="center" vertical="top" wrapText="1"/>
      <protection hidden="1"/>
    </xf>
    <xf numFmtId="0" fontId="0" fillId="0" borderId="0" xfId="0" applyAlignment="1" applyProtection="1">
      <alignment horizontal="left" vertical="center"/>
      <protection hidden="1"/>
    </xf>
    <xf numFmtId="0" fontId="14" fillId="0" borderId="12" xfId="45" applyBorder="1" applyProtection="1">
      <alignment vertical="center"/>
      <protection hidden="1"/>
    </xf>
    <xf numFmtId="0" fontId="64" fillId="0" borderId="0" xfId="0" applyFont="1" applyAlignment="1" applyProtection="1">
      <alignment horizontal="center" wrapText="1"/>
      <protection hidden="1"/>
    </xf>
    <xf numFmtId="0" fontId="0" fillId="0" borderId="85" xfId="0" applyBorder="1" applyAlignment="1" applyProtection="1">
      <alignment horizontal="center"/>
      <protection hidden="1"/>
    </xf>
    <xf numFmtId="0" fontId="0" fillId="0" borderId="80" xfId="0" applyBorder="1" applyAlignment="1" applyProtection="1">
      <alignment horizontal="center"/>
      <protection hidden="1"/>
    </xf>
    <xf numFmtId="0" fontId="0" fillId="0" borderId="86" xfId="0" applyBorder="1" applyAlignment="1" applyProtection="1">
      <alignment horizontal="center"/>
      <protection hidden="1"/>
    </xf>
    <xf numFmtId="0" fontId="0" fillId="0" borderId="87" xfId="0" applyBorder="1" applyAlignment="1" applyProtection="1">
      <alignment horizont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68" fillId="0" borderId="135" xfId="0" applyFont="1" applyBorder="1" applyAlignment="1" applyProtection="1">
      <alignment horizontal="center"/>
      <protection hidden="1"/>
    </xf>
    <xf numFmtId="0" fontId="106" fillId="0" borderId="134" xfId="0" applyFont="1" applyBorder="1" applyAlignment="1" applyProtection="1">
      <alignment horizontal="center" vertical="center"/>
      <protection hidden="1"/>
    </xf>
    <xf numFmtId="0" fontId="106" fillId="0" borderId="0" xfId="0" applyFont="1" applyAlignment="1" applyProtection="1">
      <alignment horizontal="center" vertical="center"/>
      <protection hidden="1"/>
    </xf>
    <xf numFmtId="0" fontId="106" fillId="0" borderId="135" xfId="0" applyFont="1" applyBorder="1" applyAlignment="1" applyProtection="1">
      <alignment horizontal="center" vertical="center"/>
      <protection hidden="1"/>
    </xf>
    <xf numFmtId="0" fontId="70" fillId="0" borderId="75" xfId="0" applyFont="1" applyBorder="1" applyAlignment="1" applyProtection="1">
      <alignment horizontal="left" vertical="center" wrapText="1"/>
      <protection hidden="1"/>
    </xf>
    <xf numFmtId="0" fontId="70" fillId="0" borderId="0" xfId="0" applyFont="1" applyAlignment="1" applyProtection="1">
      <alignment horizontal="left" vertical="center" wrapText="1"/>
      <protection hidden="1"/>
    </xf>
    <xf numFmtId="0" fontId="70" fillId="0" borderId="76" xfId="0" applyFont="1" applyBorder="1" applyAlignment="1" applyProtection="1">
      <alignment horizontal="left" vertical="center" wrapText="1"/>
      <protection hidden="1"/>
    </xf>
    <xf numFmtId="0" fontId="70" fillId="0" borderId="77" xfId="0" applyFont="1" applyBorder="1" applyAlignment="1" applyProtection="1">
      <alignment horizontal="left" vertical="center" wrapText="1"/>
      <protection hidden="1"/>
    </xf>
    <xf numFmtId="0" fontId="70" fillId="0" borderId="78" xfId="0" applyFont="1" applyBorder="1" applyAlignment="1" applyProtection="1">
      <alignment horizontal="left" vertical="center" wrapText="1"/>
      <protection hidden="1"/>
    </xf>
    <xf numFmtId="0" fontId="70" fillId="0" borderId="79" xfId="0" applyFont="1" applyBorder="1" applyAlignment="1" applyProtection="1">
      <alignment horizontal="left" vertical="center" wrapText="1"/>
      <protection hidden="1"/>
    </xf>
    <xf numFmtId="0" fontId="71" fillId="0" borderId="72" xfId="0" applyFont="1" applyBorder="1" applyAlignment="1" applyProtection="1">
      <alignment horizontal="left" vertical="center" wrapText="1"/>
      <protection hidden="1"/>
    </xf>
    <xf numFmtId="0" fontId="71" fillId="0" borderId="73" xfId="0" applyFont="1" applyBorder="1" applyAlignment="1" applyProtection="1">
      <alignment horizontal="left" vertical="center" wrapText="1"/>
      <protection hidden="1"/>
    </xf>
    <xf numFmtId="0" fontId="71" fillId="0" borderId="74" xfId="0" applyFont="1" applyBorder="1" applyAlignment="1" applyProtection="1">
      <alignment horizontal="left" vertical="center" wrapText="1"/>
      <protection hidden="1"/>
    </xf>
    <xf numFmtId="0" fontId="71" fillId="0" borderId="75" xfId="0" applyFont="1" applyBorder="1" applyAlignment="1" applyProtection="1">
      <alignment horizontal="left" vertical="center" wrapText="1"/>
      <protection hidden="1"/>
    </xf>
    <xf numFmtId="0" fontId="71" fillId="0" borderId="0" xfId="0" applyFont="1" applyAlignment="1" applyProtection="1">
      <alignment horizontal="left" vertical="center" wrapText="1"/>
      <protection hidden="1"/>
    </xf>
    <xf numFmtId="0" fontId="71" fillId="0" borderId="76" xfId="0" applyFont="1" applyBorder="1" applyAlignment="1" applyProtection="1">
      <alignment horizontal="left" vertical="center" wrapText="1"/>
      <protection hidden="1"/>
    </xf>
    <xf numFmtId="169" fontId="4" fillId="23" borderId="151" xfId="34" applyNumberFormat="1" applyFont="1" applyBorder="1" applyAlignment="1" applyProtection="1">
      <alignment horizontal="center" vertical="center"/>
      <protection hidden="1"/>
    </xf>
    <xf numFmtId="169" fontId="4" fillId="23" borderId="150" xfId="34" applyNumberFormat="1" applyFont="1" applyBorder="1" applyProtection="1">
      <alignment horizontal="right" vertical="center" indent="1"/>
      <protection hidden="1"/>
    </xf>
    <xf numFmtId="169" fontId="4" fillId="23" borderId="151" xfId="34" applyNumberFormat="1" applyFont="1" applyBorder="1" applyProtection="1">
      <alignment horizontal="right" vertical="center" indent="1"/>
      <protection hidden="1"/>
    </xf>
    <xf numFmtId="167" fontId="0" fillId="7" borderId="0" xfId="24" applyNumberFormat="1" applyFont="1" applyFill="1" applyBorder="1" applyAlignment="1" applyProtection="1">
      <alignment horizontal="center"/>
      <protection hidden="1"/>
    </xf>
    <xf numFmtId="0" fontId="37" fillId="0" borderId="12" xfId="44" applyFont="1" applyBorder="1" applyAlignment="1" applyProtection="1">
      <alignment vertical="center" wrapText="1"/>
      <protection hidden="1"/>
    </xf>
    <xf numFmtId="0" fontId="66" fillId="0" borderId="12" xfId="44" applyBorder="1" applyAlignment="1" applyProtection="1">
      <alignment vertical="center" wrapText="1"/>
      <protection hidden="1"/>
    </xf>
    <xf numFmtId="166" fontId="50" fillId="23" borderId="12" xfId="35" applyBorder="1" applyProtection="1">
      <alignment horizontal="right" vertical="center" indent="1"/>
      <protection hidden="1"/>
    </xf>
    <xf numFmtId="166" fontId="1" fillId="23" borderId="12" xfId="35" applyFont="1" applyBorder="1" applyProtection="1">
      <alignment horizontal="right" vertical="center" indent="1"/>
      <protection hidden="1"/>
    </xf>
    <xf numFmtId="0" fontId="19" fillId="18" borderId="0" xfId="6" applyFont="1" applyProtection="1">
      <alignment horizontal="center" vertical="center" wrapText="1"/>
      <protection hidden="1"/>
    </xf>
    <xf numFmtId="0" fontId="64" fillId="0" borderId="0" xfId="48" applyAlignment="1" applyProtection="1">
      <alignment horizontal="left" vertical="center" wrapText="1"/>
      <protection hidden="1"/>
    </xf>
    <xf numFmtId="0" fontId="66" fillId="0" borderId="13" xfId="44" applyBorder="1" applyAlignment="1" applyProtection="1">
      <alignment vertical="center" wrapText="1"/>
      <protection hidden="1"/>
    </xf>
    <xf numFmtId="166" fontId="4" fillId="23" borderId="13" xfId="35" applyFont="1" applyBorder="1" applyProtection="1">
      <alignment horizontal="right" vertical="center" indent="1"/>
      <protection hidden="1"/>
    </xf>
    <xf numFmtId="0" fontId="66" fillId="0" borderId="13" xfId="44" applyBorder="1" applyAlignment="1" applyProtection="1">
      <alignment horizontal="left" vertical="center"/>
      <protection hidden="1"/>
    </xf>
    <xf numFmtId="173" fontId="1" fillId="23" borderId="12" xfId="35" applyNumberFormat="1" applyFont="1" applyBorder="1" applyProtection="1">
      <alignment horizontal="right" vertical="center" indent="1"/>
      <protection hidden="1"/>
    </xf>
    <xf numFmtId="166" fontId="50" fillId="23" borderId="13" xfId="35" applyBorder="1" applyProtection="1">
      <alignment horizontal="right" vertical="center" indent="1"/>
      <protection hidden="1"/>
    </xf>
    <xf numFmtId="0" fontId="36" fillId="24" borderId="13" xfId="41" applyFont="1" applyBorder="1" applyAlignment="1" applyProtection="1">
      <alignment horizontal="left" vertical="center"/>
      <protection hidden="1"/>
    </xf>
    <xf numFmtId="0" fontId="65" fillId="24" borderId="13" xfId="41" applyBorder="1" applyAlignment="1" applyProtection="1">
      <alignment horizontal="left" vertical="center"/>
      <protection hidden="1"/>
    </xf>
    <xf numFmtId="0" fontId="14" fillId="0" borderId="12" xfId="47" applyFont="1" applyBorder="1" applyAlignment="1" applyProtection="1">
      <alignment horizontal="left" vertical="center" wrapText="1"/>
      <protection hidden="1"/>
    </xf>
    <xf numFmtId="0" fontId="14" fillId="0" borderId="13" xfId="47" applyFont="1" applyBorder="1" applyAlignment="1" applyProtection="1">
      <alignment horizontal="left" vertical="center" wrapText="1"/>
      <protection hidden="1"/>
    </xf>
    <xf numFmtId="0" fontId="13" fillId="0" borderId="13" xfId="47" applyBorder="1" applyAlignment="1" applyProtection="1">
      <alignment horizontal="left" vertical="center" wrapText="1"/>
      <protection hidden="1"/>
    </xf>
    <xf numFmtId="173" fontId="50" fillId="23" borderId="12" xfId="35" applyNumberFormat="1" applyBorder="1" applyProtection="1">
      <alignment horizontal="right" vertical="center" indent="1"/>
      <protection hidden="1"/>
    </xf>
    <xf numFmtId="0" fontId="4" fillId="0" borderId="14" xfId="0" applyFont="1" applyBorder="1" applyAlignment="1" applyProtection="1">
      <alignment horizontal="left" vertical="top"/>
      <protection hidden="1"/>
    </xf>
    <xf numFmtId="173" fontId="4" fillId="23" borderId="13" xfId="35" applyNumberFormat="1" applyFont="1" applyBorder="1" applyProtection="1">
      <alignment horizontal="right" vertical="center" indent="1"/>
      <protection hidden="1"/>
    </xf>
    <xf numFmtId="0" fontId="35" fillId="0" borderId="0" xfId="48" applyFont="1" applyAlignment="1" applyProtection="1">
      <alignment horizontal="left" vertical="center" wrapText="1"/>
      <protection hidden="1"/>
    </xf>
    <xf numFmtId="3" fontId="50" fillId="17" borderId="12" xfId="1" applyBorder="1" applyProtection="1">
      <alignment horizontal="center" vertical="center"/>
      <protection hidden="1"/>
    </xf>
    <xf numFmtId="0" fontId="2" fillId="0" borderId="12" xfId="0" applyFont="1" applyBorder="1" applyAlignment="1" applyProtection="1">
      <alignment horizontal="left" vertical="center" wrapText="1"/>
      <protection hidden="1"/>
    </xf>
    <xf numFmtId="0" fontId="0" fillId="0" borderId="0" xfId="0" applyAlignment="1" applyProtection="1">
      <alignment horizontal="left" vertical="top" wrapText="1" shrinkToFit="1"/>
      <protection hidden="1"/>
    </xf>
    <xf numFmtId="0" fontId="0" fillId="0" borderId="0" xfId="0" applyAlignment="1" applyProtection="1">
      <alignment horizontal="center"/>
      <protection hidden="1"/>
    </xf>
    <xf numFmtId="166" fontId="1" fillId="23" borderId="13" xfId="35" applyFont="1" applyBorder="1" applyProtection="1">
      <alignment horizontal="right" vertical="center" indent="1"/>
      <protection hidden="1"/>
    </xf>
    <xf numFmtId="0" fontId="66" fillId="0" borderId="12" xfId="44" applyBorder="1" applyAlignment="1" applyProtection="1">
      <alignment horizontal="left" vertical="center"/>
      <protection hidden="1"/>
    </xf>
    <xf numFmtId="0" fontId="52" fillId="18" borderId="0" xfId="7">
      <alignment horizontal="center" vertical="center"/>
      <protection hidden="1"/>
    </xf>
    <xf numFmtId="0" fontId="2" fillId="0" borderId="0" xfId="0" applyFont="1" applyAlignment="1" applyProtection="1">
      <alignment horizontal="left" vertical="center" wrapText="1"/>
      <protection hidden="1"/>
    </xf>
    <xf numFmtId="3" fontId="50" fillId="0" borderId="0" xfId="1" applyFill="1" applyProtection="1">
      <alignment horizontal="center" vertical="center"/>
      <protection hidden="1"/>
    </xf>
    <xf numFmtId="166" fontId="4" fillId="23" borderId="12" xfId="35" applyFont="1" applyBorder="1" applyProtection="1">
      <alignment horizontal="right" vertical="center" indent="1"/>
      <protection hidden="1"/>
    </xf>
    <xf numFmtId="0" fontId="14" fillId="0" borderId="12" xfId="45" quotePrefix="1" applyBorder="1" applyAlignment="1" applyProtection="1">
      <alignment horizontal="left" vertical="center" wrapText="1"/>
      <protection hidden="1"/>
    </xf>
    <xf numFmtId="173" fontId="4" fillId="23" borderId="12" xfId="35" applyNumberFormat="1" applyFont="1" applyBorder="1" applyProtection="1">
      <alignment horizontal="right" vertical="center" indent="1"/>
      <protection hidden="1"/>
    </xf>
    <xf numFmtId="0" fontId="0" fillId="0" borderId="0" xfId="0" applyAlignment="1">
      <alignment horizontal="left"/>
    </xf>
    <xf numFmtId="0" fontId="4" fillId="13" borderId="0" xfId="0" applyFont="1" applyFill="1" applyAlignment="1" applyProtection="1">
      <alignment horizontal="center"/>
      <protection hidden="1"/>
    </xf>
    <xf numFmtId="0" fontId="8" fillId="0" borderId="0" xfId="39" applyProtection="1">
      <alignment horizontal="center" vertical="center"/>
      <protection hidden="1"/>
    </xf>
    <xf numFmtId="0" fontId="4" fillId="0" borderId="0" xfId="0" applyFont="1" applyAlignment="1">
      <alignment horizontal="center"/>
    </xf>
    <xf numFmtId="0" fontId="14" fillId="0" borderId="0" xfId="45" applyAlignment="1" applyProtection="1">
      <alignment horizontal="left" vertical="center" wrapText="1"/>
      <protection hidden="1"/>
    </xf>
    <xf numFmtId="0" fontId="4" fillId="0" borderId="0" xfId="0" applyFont="1" applyAlignment="1">
      <alignment horizontal="center" vertical="center"/>
    </xf>
    <xf numFmtId="166" fontId="1" fillId="7" borderId="13" xfId="37" applyBorder="1" applyAlignment="1" applyProtection="1">
      <alignment horizontal="center" vertical="center"/>
      <protection hidden="1"/>
    </xf>
    <xf numFmtId="0" fontId="4" fillId="0" borderId="11" xfId="0" applyFont="1" applyBorder="1" applyAlignment="1" applyProtection="1">
      <alignment horizontal="center"/>
      <protection hidden="1"/>
    </xf>
    <xf numFmtId="166" fontId="1" fillId="7" borderId="12" xfId="37" applyBorder="1" applyProtection="1">
      <alignment horizontal="right" vertical="center" indent="1"/>
      <protection hidden="1"/>
    </xf>
    <xf numFmtId="166" fontId="1" fillId="17" borderId="13" xfId="37" applyFill="1" applyBorder="1" applyProtection="1">
      <alignment horizontal="right" vertical="center" indent="1"/>
      <protection locked="0"/>
    </xf>
    <xf numFmtId="166" fontId="4" fillId="7" borderId="12" xfId="37" applyFont="1" applyBorder="1" applyAlignment="1" applyProtection="1">
      <alignment horizontal="center" vertical="center"/>
      <protection hidden="1"/>
    </xf>
    <xf numFmtId="169" fontId="0" fillId="7" borderId="13" xfId="0" applyNumberFormat="1" applyFill="1" applyBorder="1" applyAlignment="1">
      <alignment horizontal="center"/>
    </xf>
    <xf numFmtId="0" fontId="0" fillId="7" borderId="13" xfId="0" applyFill="1" applyBorder="1" applyAlignment="1">
      <alignment horizontal="center"/>
    </xf>
    <xf numFmtId="166" fontId="1" fillId="7" borderId="12" xfId="37" applyBorder="1" applyAlignment="1" applyProtection="1">
      <alignment horizontal="center" vertical="center"/>
      <protection hidden="1"/>
    </xf>
    <xf numFmtId="0" fontId="4" fillId="0" borderId="16"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40" xfId="0" applyFont="1" applyBorder="1" applyAlignment="1">
      <alignment horizontal="center"/>
    </xf>
    <xf numFmtId="0" fontId="4" fillId="0" borderId="12" xfId="0" applyFont="1" applyBorder="1" applyAlignment="1">
      <alignment horizontal="center"/>
    </xf>
    <xf numFmtId="0" fontId="4" fillId="0" borderId="41" xfId="0" applyFont="1" applyBorder="1" applyAlignment="1">
      <alignment horizontal="center"/>
    </xf>
    <xf numFmtId="167" fontId="0" fillId="0" borderId="17" xfId="24" applyNumberFormat="1" applyFont="1" applyBorder="1" applyAlignment="1">
      <alignment horizontal="center" vertical="center"/>
    </xf>
    <xf numFmtId="167" fontId="0" fillId="0" borderId="15" xfId="24" applyNumberFormat="1" applyFont="1" applyBorder="1" applyAlignment="1">
      <alignment horizontal="center" vertical="center"/>
    </xf>
    <xf numFmtId="167" fontId="0" fillId="0" borderId="3" xfId="24" applyNumberFormat="1" applyFont="1" applyBorder="1" applyAlignment="1">
      <alignment horizontal="center" vertical="center"/>
    </xf>
    <xf numFmtId="0" fontId="63" fillId="0" borderId="0" xfId="32">
      <alignment vertical="center"/>
    </xf>
    <xf numFmtId="0" fontId="8" fillId="0" borderId="14" xfId="39" applyBorder="1" applyAlignment="1" applyProtection="1">
      <alignment horizontal="center" vertical="center" wrapText="1"/>
      <protection hidden="1"/>
    </xf>
    <xf numFmtId="166" fontId="1" fillId="2" borderId="12" xfId="5" applyNumberFormat="1" applyBorder="1" applyProtection="1">
      <alignment horizontal="center" vertical="center"/>
      <protection locked="0"/>
    </xf>
    <xf numFmtId="166" fontId="1" fillId="17" borderId="12" xfId="37" applyFill="1" applyBorder="1" applyProtection="1">
      <alignment horizontal="right" vertical="center" indent="1"/>
      <protection locked="0"/>
    </xf>
    <xf numFmtId="0" fontId="11" fillId="0" borderId="13" xfId="42" applyBorder="1" applyAlignment="1" applyProtection="1">
      <alignment horizontal="left" vertical="center"/>
      <protection hidden="1"/>
    </xf>
    <xf numFmtId="0" fontId="11" fillId="0" borderId="13" xfId="42" applyBorder="1" applyProtection="1">
      <alignment vertical="center"/>
      <protection hidden="1"/>
    </xf>
    <xf numFmtId="0" fontId="39" fillId="0" borderId="0" xfId="31" applyFont="1" applyAlignment="1">
      <alignment vertical="center" wrapText="1"/>
    </xf>
    <xf numFmtId="0" fontId="62" fillId="0" borderId="0" xfId="31" applyAlignment="1">
      <alignment vertical="center" wrapText="1"/>
    </xf>
    <xf numFmtId="177" fontId="1" fillId="2" borderId="13" xfId="5" applyNumberFormat="1" applyBorder="1" applyProtection="1">
      <alignment horizontal="center" vertical="center"/>
      <protection locked="0"/>
    </xf>
    <xf numFmtId="166" fontId="4" fillId="7" borderId="13" xfId="37" applyFont="1" applyBorder="1" applyProtection="1">
      <alignment horizontal="right" vertical="center" indent="1"/>
      <protection hidden="1"/>
    </xf>
    <xf numFmtId="169" fontId="1" fillId="2" borderId="13" xfId="5" applyNumberFormat="1" applyBorder="1" applyProtection="1">
      <alignment horizontal="center" vertical="center"/>
      <protection locked="0"/>
    </xf>
    <xf numFmtId="167" fontId="0" fillId="7" borderId="0" xfId="24" applyNumberFormat="1" applyFont="1" applyFill="1" applyBorder="1" applyAlignment="1">
      <alignment horizontal="center"/>
    </xf>
    <xf numFmtId="0" fontId="14" fillId="0" borderId="12" xfId="45" applyBorder="1" applyAlignment="1" applyProtection="1">
      <alignment horizontal="center" vertic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left" vertical="center"/>
      <protection hidden="1"/>
    </xf>
    <xf numFmtId="166" fontId="1" fillId="2" borderId="13" xfId="5" applyNumberFormat="1" applyBorder="1" applyProtection="1">
      <alignment horizontal="center" vertical="center"/>
      <protection locked="0"/>
    </xf>
    <xf numFmtId="0" fontId="8" fillId="0" borderId="14" xfId="39" applyBorder="1" applyProtection="1">
      <alignment horizontal="center" vertical="center"/>
      <protection hidden="1"/>
    </xf>
    <xf numFmtId="169" fontId="4" fillId="7" borderId="13" xfId="37" applyNumberFormat="1" applyFont="1" applyBorder="1" applyProtection="1">
      <alignment horizontal="right" vertical="center" indent="1"/>
      <protection hidden="1"/>
    </xf>
    <xf numFmtId="177" fontId="1" fillId="2" borderId="12" xfId="5" applyNumberFormat="1" applyBorder="1" applyProtection="1">
      <alignment horizontal="center" vertical="center"/>
      <protection locked="0"/>
    </xf>
    <xf numFmtId="3" fontId="0" fillId="7" borderId="0" xfId="0" applyNumberFormat="1" applyFill="1" applyAlignment="1" applyProtection="1">
      <alignment horizontal="center"/>
      <protection hidden="1"/>
    </xf>
    <xf numFmtId="0" fontId="0" fillId="7" borderId="0" xfId="0" applyFill="1" applyAlignment="1" applyProtection="1">
      <alignment horizontal="center"/>
      <protection hidden="1"/>
    </xf>
    <xf numFmtId="168" fontId="0" fillId="7" borderId="0" xfId="0" applyNumberFormat="1" applyFill="1" applyAlignment="1" applyProtection="1">
      <alignment horizontal="center"/>
      <protection hidden="1"/>
    </xf>
    <xf numFmtId="170" fontId="1" fillId="2" borderId="13" xfId="5" applyNumberFormat="1" applyBorder="1" applyAlignment="1" applyProtection="1">
      <alignment horizontal="right" vertical="center" indent="1"/>
      <protection locked="0"/>
    </xf>
    <xf numFmtId="0" fontId="0" fillId="0" borderId="112" xfId="0" applyBorder="1" applyAlignment="1" applyProtection="1">
      <alignment horizontal="justify" vertical="center" wrapText="1"/>
      <protection hidden="1"/>
    </xf>
    <xf numFmtId="0" fontId="0" fillId="0" borderId="113" xfId="0" applyBorder="1" applyAlignment="1" applyProtection="1">
      <alignment horizontal="justify" vertical="center" wrapText="1"/>
      <protection hidden="1"/>
    </xf>
    <xf numFmtId="0" fontId="0" fillId="0" borderId="114" xfId="0" applyBorder="1" applyAlignment="1" applyProtection="1">
      <alignment horizontal="justify" vertical="center" wrapText="1"/>
      <protection hidden="1"/>
    </xf>
    <xf numFmtId="0" fontId="0" fillId="0" borderId="115" xfId="0"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116" xfId="0" applyBorder="1" applyAlignment="1" applyProtection="1">
      <alignment horizontal="justify" vertical="center" wrapText="1"/>
      <protection hidden="1"/>
    </xf>
    <xf numFmtId="0" fontId="0" fillId="0" borderId="117" xfId="0" applyBorder="1" applyAlignment="1" applyProtection="1">
      <alignment horizontal="justify" vertical="center" wrapText="1"/>
      <protection hidden="1"/>
    </xf>
    <xf numFmtId="0" fontId="0" fillId="0" borderId="118" xfId="0" applyBorder="1" applyAlignment="1" applyProtection="1">
      <alignment horizontal="justify" vertical="center" wrapText="1"/>
      <protection hidden="1"/>
    </xf>
    <xf numFmtId="0" fontId="0" fillId="0" borderId="119" xfId="0" applyBorder="1" applyAlignment="1" applyProtection="1">
      <alignment horizontal="justify" vertical="center" wrapText="1"/>
      <protection hidden="1"/>
    </xf>
    <xf numFmtId="0" fontId="0" fillId="0" borderId="2" xfId="0" applyBorder="1" applyAlignment="1" applyProtection="1">
      <alignment horizontal="center" textRotation="90"/>
      <protection hidden="1"/>
    </xf>
    <xf numFmtId="0" fontId="0" fillId="0" borderId="0" xfId="0" applyAlignment="1" applyProtection="1">
      <alignment horizontal="center" textRotation="90"/>
      <protection hidden="1"/>
    </xf>
    <xf numFmtId="166" fontId="1" fillId="7" borderId="13" xfId="37" applyBorder="1" applyProtection="1">
      <alignment horizontal="right" vertical="center" indent="1"/>
      <protection hidden="1"/>
    </xf>
    <xf numFmtId="0" fontId="0" fillId="0" borderId="11" xfId="0" applyBorder="1" applyAlignment="1" applyProtection="1">
      <alignment horizontal="center" textRotation="90"/>
      <protection hidden="1"/>
    </xf>
    <xf numFmtId="0" fontId="11" fillId="0" borderId="0" xfId="42" applyAlignment="1" applyProtection="1">
      <alignment horizontal="left" vertical="center"/>
      <protection hidden="1"/>
    </xf>
    <xf numFmtId="0" fontId="100" fillId="21" borderId="1" xfId="52" applyFill="1" applyBorder="1" applyAlignment="1" applyProtection="1">
      <alignment horizontal="center" vertical="center"/>
    </xf>
    <xf numFmtId="0" fontId="109" fillId="0" borderId="72" xfId="0" applyFont="1" applyBorder="1" applyAlignment="1" applyProtection="1">
      <alignment horizontal="center" vertical="center" wrapText="1"/>
      <protection hidden="1"/>
    </xf>
    <xf numFmtId="0" fontId="109" fillId="0" borderId="73" xfId="0" applyFont="1" applyBorder="1" applyAlignment="1" applyProtection="1">
      <alignment horizontal="center" vertical="center" wrapText="1"/>
      <protection hidden="1"/>
    </xf>
    <xf numFmtId="0" fontId="109" fillId="0" borderId="74" xfId="0" applyFont="1" applyBorder="1" applyAlignment="1" applyProtection="1">
      <alignment horizontal="center" vertical="center" wrapText="1"/>
      <protection hidden="1"/>
    </xf>
    <xf numFmtId="0" fontId="109" fillId="0" borderId="75" xfId="0" applyFont="1" applyBorder="1" applyAlignment="1" applyProtection="1">
      <alignment horizontal="center" vertical="center" wrapText="1"/>
      <protection hidden="1"/>
    </xf>
    <xf numFmtId="0" fontId="109" fillId="0" borderId="0" xfId="0" applyFont="1" applyAlignment="1" applyProtection="1">
      <alignment horizontal="center" vertical="center" wrapText="1"/>
      <protection hidden="1"/>
    </xf>
    <xf numFmtId="0" fontId="109" fillId="0" borderId="76" xfId="0" applyFont="1" applyBorder="1" applyAlignment="1" applyProtection="1">
      <alignment horizontal="center" vertical="center" wrapText="1"/>
      <protection hidden="1"/>
    </xf>
    <xf numFmtId="0" fontId="109" fillId="0" borderId="77" xfId="0" applyFont="1" applyBorder="1" applyAlignment="1" applyProtection="1">
      <alignment horizontal="center" vertical="center" wrapText="1"/>
      <protection hidden="1"/>
    </xf>
    <xf numFmtId="0" fontId="109" fillId="0" borderId="78" xfId="0" applyFont="1" applyBorder="1" applyAlignment="1" applyProtection="1">
      <alignment horizontal="center" vertical="center" wrapText="1"/>
      <protection hidden="1"/>
    </xf>
    <xf numFmtId="0" fontId="109" fillId="0" borderId="79" xfId="0" applyFont="1" applyBorder="1" applyAlignment="1" applyProtection="1">
      <alignment horizontal="center" vertical="center" wrapText="1"/>
      <protection hidden="1"/>
    </xf>
    <xf numFmtId="0" fontId="104" fillId="0" borderId="0" xfId="31" applyFont="1" applyAlignment="1">
      <alignment horizontal="center" vertical="center" wrapText="1"/>
    </xf>
    <xf numFmtId="0" fontId="62" fillId="0" borderId="0" xfId="31">
      <alignment vertical="center"/>
    </xf>
    <xf numFmtId="0" fontId="43" fillId="0" borderId="0" xfId="29">
      <alignment horizontal="left" vertical="center"/>
      <protection hidden="1"/>
    </xf>
    <xf numFmtId="0" fontId="68" fillId="0" borderId="0" xfId="0" applyFont="1"/>
    <xf numFmtId="170" fontId="4" fillId="2" borderId="12" xfId="5" applyNumberFormat="1" applyFont="1" applyBorder="1" applyAlignment="1" applyProtection="1">
      <alignment horizontal="right" vertical="center" indent="1"/>
      <protection locked="0"/>
    </xf>
    <xf numFmtId="170" fontId="4" fillId="2" borderId="13" xfId="5" applyNumberFormat="1" applyFont="1" applyBorder="1" applyAlignment="1" applyProtection="1">
      <alignment horizontal="right" vertical="center" indent="1"/>
      <protection locked="0"/>
    </xf>
    <xf numFmtId="0" fontId="13" fillId="0" borderId="12" xfId="47" applyBorder="1" applyAlignment="1" applyProtection="1">
      <alignment wrapText="1"/>
      <protection hidden="1"/>
    </xf>
    <xf numFmtId="169" fontId="0" fillId="0" borderId="49" xfId="0" applyNumberFormat="1" applyBorder="1" applyAlignment="1" applyProtection="1">
      <alignment horizontal="center"/>
      <protection hidden="1"/>
    </xf>
    <xf numFmtId="0" fontId="8" fillId="0" borderId="12" xfId="39" applyBorder="1" applyProtection="1">
      <alignment horizontal="center" vertical="center"/>
      <protection hidden="1"/>
    </xf>
    <xf numFmtId="169" fontId="4" fillId="7" borderId="13" xfId="37" applyNumberFormat="1" applyFont="1" applyBorder="1" applyAlignment="1" applyProtection="1">
      <alignment horizontal="center" vertical="center"/>
      <protection hidden="1"/>
    </xf>
    <xf numFmtId="0" fontId="68" fillId="0" borderId="14" xfId="0" applyFont="1" applyBorder="1" applyAlignment="1" applyProtection="1">
      <alignment vertical="center"/>
      <protection hidden="1"/>
    </xf>
    <xf numFmtId="0" fontId="1" fillId="0" borderId="14" xfId="0" applyFont="1" applyBorder="1" applyAlignment="1" applyProtection="1">
      <alignment vertical="center"/>
      <protection hidden="1"/>
    </xf>
    <xf numFmtId="166" fontId="1" fillId="2" borderId="12" xfId="5" applyNumberFormat="1" applyBorder="1" applyAlignment="1" applyProtection="1">
      <alignment horizontal="right" vertical="center" indent="1"/>
      <protection locked="0"/>
    </xf>
    <xf numFmtId="0" fontId="11" fillId="0" borderId="13" xfId="42" applyBorder="1" applyAlignment="1" applyProtection="1">
      <alignment horizontal="center" vertical="center"/>
      <protection hidden="1"/>
    </xf>
    <xf numFmtId="0" fontId="1" fillId="2" borderId="12" xfId="5" applyNumberFormat="1" applyBorder="1" applyProtection="1">
      <alignment horizontal="center" vertical="center"/>
      <protection locked="0"/>
    </xf>
    <xf numFmtId="0" fontId="0" fillId="17" borderId="43" xfId="0" applyFill="1" applyBorder="1" applyAlignment="1" applyProtection="1">
      <alignment horizontal="left" vertical="top"/>
      <protection locked="0"/>
    </xf>
    <xf numFmtId="0" fontId="0" fillId="17" borderId="14" xfId="0" applyFill="1" applyBorder="1" applyAlignment="1" applyProtection="1">
      <alignment horizontal="left" vertical="top"/>
      <protection locked="0"/>
    </xf>
    <xf numFmtId="0" fontId="0" fillId="17" borderId="44" xfId="0" applyFill="1" applyBorder="1" applyAlignment="1" applyProtection="1">
      <alignment horizontal="left" vertical="top"/>
      <protection locked="0"/>
    </xf>
    <xf numFmtId="0" fontId="0" fillId="17" borderId="45" xfId="0" applyFill="1" applyBorder="1" applyAlignment="1" applyProtection="1">
      <alignment horizontal="left" vertical="top"/>
      <protection locked="0"/>
    </xf>
    <xf numFmtId="0" fontId="0" fillId="17" borderId="0" xfId="0" applyFill="1" applyAlignment="1" applyProtection="1">
      <alignment horizontal="left" vertical="top"/>
      <protection locked="0"/>
    </xf>
    <xf numFmtId="0" fontId="0" fillId="17" borderId="46" xfId="0" applyFill="1" applyBorder="1" applyAlignment="1" applyProtection="1">
      <alignment horizontal="left" vertical="top"/>
      <protection locked="0"/>
    </xf>
    <xf numFmtId="0" fontId="0" fillId="17" borderId="47" xfId="0" applyFill="1" applyBorder="1" applyAlignment="1" applyProtection="1">
      <alignment horizontal="left" vertical="top"/>
      <protection locked="0"/>
    </xf>
    <xf numFmtId="0" fontId="0" fillId="17" borderId="12" xfId="0" applyFill="1" applyBorder="1" applyAlignment="1" applyProtection="1">
      <alignment horizontal="left" vertical="top"/>
      <protection locked="0"/>
    </xf>
    <xf numFmtId="0" fontId="0" fillId="17" borderId="48" xfId="0" applyFill="1" applyBorder="1" applyAlignment="1" applyProtection="1">
      <alignment horizontal="left" vertical="top"/>
      <protection locked="0"/>
    </xf>
    <xf numFmtId="169" fontId="1" fillId="2" borderId="12" xfId="5" applyNumberFormat="1" applyBorder="1" applyProtection="1">
      <alignment horizontal="center" vertical="center"/>
      <protection locked="0"/>
    </xf>
    <xf numFmtId="1" fontId="1" fillId="2" borderId="12" xfId="5" applyNumberFormat="1" applyBorder="1" applyProtection="1">
      <alignment horizontal="center" vertical="center"/>
      <protection locked="0"/>
    </xf>
    <xf numFmtId="169" fontId="1" fillId="7" borderId="12" xfId="37" applyNumberFormat="1" applyBorder="1" applyAlignment="1" applyProtection="1">
      <alignment horizontal="center" vertical="center"/>
      <protection hidden="1"/>
    </xf>
    <xf numFmtId="0" fontId="56" fillId="21" borderId="1" xfId="18" applyProtection="1">
      <alignment horizontal="center" vertical="center"/>
      <protection hidden="1"/>
    </xf>
    <xf numFmtId="0" fontId="34" fillId="0" borderId="0" xfId="32" applyFont="1" applyProtection="1">
      <alignment vertical="center"/>
      <protection hidden="1"/>
    </xf>
    <xf numFmtId="169" fontId="1" fillId="7" borderId="13" xfId="37" applyNumberFormat="1" applyBorder="1" applyAlignment="1" applyProtection="1">
      <alignment horizontal="center" vertical="center"/>
      <protection hidden="1"/>
    </xf>
    <xf numFmtId="177" fontId="4" fillId="7" borderId="13" xfId="37" applyNumberFormat="1" applyFont="1" applyBorder="1" applyAlignment="1" applyProtection="1">
      <alignment horizontal="center" vertical="center"/>
      <protection hidden="1"/>
    </xf>
    <xf numFmtId="0" fontId="40" fillId="0" borderId="122" xfId="0" applyFont="1" applyBorder="1" applyAlignment="1" applyProtection="1">
      <alignment horizontal="center" vertical="center" wrapText="1"/>
      <protection hidden="1"/>
    </xf>
    <xf numFmtId="0" fontId="40" fillId="0" borderId="123" xfId="0" applyFont="1" applyBorder="1" applyAlignment="1" applyProtection="1">
      <alignment horizontal="center" vertical="center" wrapText="1"/>
      <protection hidden="1"/>
    </xf>
    <xf numFmtId="0" fontId="40" fillId="0" borderId="124" xfId="0" applyFont="1" applyBorder="1" applyAlignment="1" applyProtection="1">
      <alignment horizontal="center" vertical="center" wrapText="1"/>
      <protection hidden="1"/>
    </xf>
    <xf numFmtId="0" fontId="40" fillId="0" borderId="125" xfId="0" applyFont="1" applyBorder="1" applyAlignment="1" applyProtection="1">
      <alignment horizontal="center" vertical="center" wrapText="1"/>
      <protection hidden="1"/>
    </xf>
    <xf numFmtId="0" fontId="40" fillId="0" borderId="126" xfId="0" applyFont="1" applyBorder="1" applyAlignment="1" applyProtection="1">
      <alignment horizontal="center" vertical="center" wrapText="1"/>
      <protection hidden="1"/>
    </xf>
    <xf numFmtId="0" fontId="40" fillId="0" borderId="127" xfId="0" applyFont="1" applyBorder="1" applyAlignment="1" applyProtection="1">
      <alignment horizontal="center" vertical="center" wrapText="1"/>
      <protection hidden="1"/>
    </xf>
    <xf numFmtId="0" fontId="4" fillId="0" borderId="0" xfId="0" applyFont="1" applyProtection="1">
      <protection hidden="1"/>
    </xf>
    <xf numFmtId="0" fontId="4" fillId="0" borderId="14" xfId="0" applyFont="1" applyBorder="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wrapText="1"/>
      <protection hidden="1"/>
    </xf>
    <xf numFmtId="0" fontId="39" fillId="13" borderId="0" xfId="0" applyFont="1" applyFill="1" applyAlignment="1" applyProtection="1">
      <alignment horizontal="center" vertical="center"/>
      <protection hidden="1"/>
    </xf>
    <xf numFmtId="0" fontId="8" fillId="0" borderId="2" xfId="39" applyBorder="1" applyProtection="1">
      <alignment horizontal="center" vertical="center"/>
      <protection hidden="1"/>
    </xf>
    <xf numFmtId="169" fontId="0" fillId="0" borderId="0" xfId="0" applyNumberFormat="1" applyAlignment="1" applyProtection="1">
      <alignment horizontal="center"/>
      <protection hidden="1"/>
    </xf>
    <xf numFmtId="0" fontId="0" fillId="0" borderId="2" xfId="0" applyBorder="1" applyAlignment="1" applyProtection="1">
      <alignment horizontal="center"/>
      <protection hidden="1"/>
    </xf>
    <xf numFmtId="0" fontId="8" fillId="0" borderId="13" xfId="39" applyBorder="1" applyAlignment="1" applyProtection="1">
      <alignment horizontal="center" vertical="center" wrapText="1"/>
      <protection hidden="1"/>
    </xf>
    <xf numFmtId="0" fontId="4" fillId="0" borderId="2" xfId="0" applyFont="1" applyBorder="1" applyAlignment="1" applyProtection="1">
      <alignment horizontal="center"/>
      <protection hidden="1"/>
    </xf>
    <xf numFmtId="169" fontId="1" fillId="7" borderId="12" xfId="37" applyNumberFormat="1" applyBorder="1" applyProtection="1">
      <alignment horizontal="right" vertical="center" indent="1"/>
      <protection hidden="1"/>
    </xf>
    <xf numFmtId="0" fontId="4" fillId="9" borderId="30" xfId="0" applyFont="1" applyFill="1" applyBorder="1" applyAlignment="1">
      <alignment horizontal="center" wrapText="1"/>
    </xf>
    <xf numFmtId="0" fontId="4" fillId="9" borderId="42" xfId="0" applyFont="1" applyFill="1" applyBorder="1" applyAlignment="1">
      <alignment horizontal="center" wrapText="1"/>
    </xf>
    <xf numFmtId="0" fontId="4" fillId="9" borderId="6" xfId="0" applyFont="1" applyFill="1" applyBorder="1" applyAlignment="1">
      <alignment horizontal="center" wrapText="1"/>
    </xf>
    <xf numFmtId="176" fontId="0" fillId="0" borderId="0" xfId="0" applyNumberFormat="1" applyAlignment="1" applyProtection="1">
      <alignment horizontal="center"/>
      <protection hidden="1"/>
    </xf>
    <xf numFmtId="0" fontId="8" fillId="0" borderId="25" xfId="39" applyBorder="1" applyProtection="1">
      <alignment horizontal="center" vertical="center"/>
      <protection hidden="1"/>
    </xf>
    <xf numFmtId="0" fontId="0" fillId="0" borderId="25" xfId="0" applyBorder="1" applyAlignment="1" applyProtection="1">
      <alignment horizontal="center"/>
      <protection hidden="1"/>
    </xf>
    <xf numFmtId="0" fontId="0" fillId="0" borderId="15" xfId="0" applyBorder="1" applyAlignment="1" applyProtection="1">
      <alignment horizontal="center" wrapText="1"/>
      <protection hidden="1"/>
    </xf>
    <xf numFmtId="0" fontId="63" fillId="0" borderId="0" xfId="32" applyAlignment="1">
      <alignment horizontal="left" vertical="center" wrapText="1"/>
    </xf>
    <xf numFmtId="0" fontId="14" fillId="0" borderId="13" xfId="45" applyBorder="1" applyAlignment="1" applyProtection="1">
      <alignment horizontal="left" vertical="top" wrapText="1"/>
      <protection hidden="1"/>
    </xf>
    <xf numFmtId="0" fontId="0" fillId="0" borderId="10" xfId="0" applyBorder="1" applyAlignment="1">
      <alignment horizontal="center" vertical="center"/>
    </xf>
    <xf numFmtId="166" fontId="0" fillId="0" borderId="15" xfId="0" applyNumberFormat="1" applyBorder="1" applyAlignment="1">
      <alignment horizontal="center"/>
    </xf>
    <xf numFmtId="166" fontId="0" fillId="0" borderId="3" xfId="0" applyNumberFormat="1" applyBorder="1" applyAlignment="1">
      <alignment horizontal="center"/>
    </xf>
    <xf numFmtId="0" fontId="68" fillId="32" borderId="0" xfId="0" applyFont="1" applyFill="1" applyAlignment="1" applyProtection="1">
      <alignment horizontal="center"/>
      <protection hidden="1"/>
    </xf>
    <xf numFmtId="0" fontId="68" fillId="32" borderId="121" xfId="0" applyFont="1" applyFill="1" applyBorder="1" applyAlignment="1" applyProtection="1">
      <alignment horizontal="center"/>
      <protection hidden="1"/>
    </xf>
    <xf numFmtId="0" fontId="0" fillId="32" borderId="0" xfId="0" applyFill="1" applyAlignment="1" applyProtection="1">
      <alignment horizontal="center"/>
      <protection hidden="1"/>
    </xf>
    <xf numFmtId="0" fontId="0" fillId="32" borderId="121" xfId="0" applyFill="1" applyBorder="1" applyAlignment="1" applyProtection="1">
      <alignment horizontal="center"/>
      <protection hidden="1"/>
    </xf>
    <xf numFmtId="0" fontId="68" fillId="32" borderId="0" xfId="0" applyFont="1" applyFill="1" applyAlignment="1" applyProtection="1">
      <alignment horizontal="center" vertical="center"/>
      <protection hidden="1"/>
    </xf>
    <xf numFmtId="0" fontId="68" fillId="32" borderId="121" xfId="0" applyFont="1" applyFill="1" applyBorder="1" applyAlignment="1" applyProtection="1">
      <alignment horizontal="center" vertical="center"/>
      <protection hidden="1"/>
    </xf>
    <xf numFmtId="0" fontId="68" fillId="32" borderId="90" xfId="0" applyFont="1" applyFill="1" applyBorder="1" applyAlignment="1" applyProtection="1">
      <alignment horizontal="center" vertical="center"/>
      <protection hidden="1"/>
    </xf>
    <xf numFmtId="0" fontId="68" fillId="32" borderId="10" xfId="0" applyFont="1" applyFill="1" applyBorder="1" applyAlignment="1" applyProtection="1">
      <alignment horizontal="center" vertical="center"/>
      <protection hidden="1"/>
    </xf>
    <xf numFmtId="0" fontId="68" fillId="32" borderId="92" xfId="0" applyFont="1" applyFill="1" applyBorder="1" applyAlignment="1" applyProtection="1">
      <alignment horizontal="center" vertical="center"/>
      <protection hidden="1"/>
    </xf>
    <xf numFmtId="0" fontId="72" fillId="0" borderId="72" xfId="0" applyFont="1" applyBorder="1" applyAlignment="1" applyProtection="1">
      <alignment horizontal="center" vertical="center" wrapText="1"/>
      <protection hidden="1"/>
    </xf>
    <xf numFmtId="0" fontId="72" fillId="0" borderId="73" xfId="0" applyFont="1" applyBorder="1" applyAlignment="1" applyProtection="1">
      <alignment horizontal="center" vertical="center" wrapText="1"/>
      <protection hidden="1"/>
    </xf>
    <xf numFmtId="0" fontId="72" fillId="0" borderId="74" xfId="0" applyFont="1" applyBorder="1" applyAlignment="1" applyProtection="1">
      <alignment horizontal="center" vertical="center" wrapText="1"/>
      <protection hidden="1"/>
    </xf>
    <xf numFmtId="0" fontId="72" fillId="0" borderId="75" xfId="0" applyFont="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72" fillId="0" borderId="76" xfId="0" applyFont="1" applyBorder="1" applyAlignment="1" applyProtection="1">
      <alignment horizontal="center" vertical="center" wrapText="1"/>
      <protection hidden="1"/>
    </xf>
    <xf numFmtId="0" fontId="72" fillId="0" borderId="77" xfId="0" applyFont="1" applyBorder="1" applyAlignment="1" applyProtection="1">
      <alignment horizontal="center" vertical="center" wrapText="1"/>
      <protection hidden="1"/>
    </xf>
    <xf numFmtId="0" fontId="72" fillId="0" borderId="78" xfId="0" applyFont="1" applyBorder="1" applyAlignment="1" applyProtection="1">
      <alignment horizontal="center" vertical="center" wrapText="1"/>
      <protection hidden="1"/>
    </xf>
    <xf numFmtId="0" fontId="72" fillId="0" borderId="79" xfId="0" applyFont="1" applyBorder="1" applyAlignment="1" applyProtection="1">
      <alignment horizontal="center" vertical="center" wrapText="1"/>
      <protection hidden="1"/>
    </xf>
    <xf numFmtId="168" fontId="4" fillId="7" borderId="12" xfId="37" applyNumberFormat="1" applyFont="1" applyBorder="1" applyAlignment="1" applyProtection="1">
      <alignment horizontal="center" vertical="center"/>
      <protection hidden="1"/>
    </xf>
    <xf numFmtId="0" fontId="11" fillId="0" borderId="73" xfId="42" applyBorder="1" applyAlignment="1" applyProtection="1">
      <alignment horizontal="center" vertical="center" wrapText="1"/>
      <protection hidden="1"/>
    </xf>
    <xf numFmtId="0" fontId="11" fillId="0" borderId="0" xfId="42" applyAlignment="1" applyProtection="1">
      <alignment horizontal="center" vertical="center" wrapText="1"/>
      <protection hidden="1"/>
    </xf>
    <xf numFmtId="178" fontId="4" fillId="7" borderId="13" xfId="37" applyNumberFormat="1" applyFont="1" applyBorder="1" applyAlignment="1" applyProtection="1">
      <alignment horizontal="center" vertical="center"/>
      <protection hidden="1"/>
    </xf>
    <xf numFmtId="0" fontId="68" fillId="0" borderId="0" xfId="0" applyFont="1" applyAlignment="1" applyProtection="1">
      <alignment horizontal="left" vertical="top" wrapText="1"/>
      <protection hidden="1"/>
    </xf>
    <xf numFmtId="170" fontId="4" fillId="7" borderId="13" xfId="37" applyNumberFormat="1" applyFont="1" applyBorder="1" applyAlignment="1" applyProtection="1">
      <alignment horizontal="center" vertical="center"/>
      <protection hidden="1"/>
    </xf>
    <xf numFmtId="0" fontId="68" fillId="0" borderId="0" xfId="0" applyFont="1" applyAlignment="1" applyProtection="1">
      <alignment horizontal="left"/>
      <protection hidden="1"/>
    </xf>
    <xf numFmtId="0" fontId="68" fillId="0" borderId="0" xfId="0" applyFont="1" applyAlignment="1" applyProtection="1">
      <alignment horizontal="right" vertical="top"/>
      <protection hidden="1"/>
    </xf>
    <xf numFmtId="0" fontId="4" fillId="0" borderId="0" xfId="39" applyFont="1" applyProtection="1">
      <alignment horizontal="center" vertical="center"/>
      <protection hidden="1"/>
    </xf>
    <xf numFmtId="0" fontId="24" fillId="31" borderId="109" xfId="49">
      <alignment vertical="center"/>
    </xf>
    <xf numFmtId="0" fontId="118" fillId="0" borderId="0" xfId="0" applyFont="1" applyAlignment="1" applyProtection="1">
      <alignment horizontal="left" vertical="center" wrapText="1"/>
      <protection hidden="1"/>
    </xf>
    <xf numFmtId="170" fontId="1" fillId="36" borderId="13" xfId="5" applyNumberFormat="1" applyFill="1" applyBorder="1" applyAlignment="1" applyProtection="1">
      <alignment horizontal="right" vertical="center" indent="1"/>
      <protection hidden="1"/>
    </xf>
    <xf numFmtId="0" fontId="13" fillId="0" borderId="12" xfId="47" applyBorder="1" applyAlignment="1" applyProtection="1">
      <alignment horizontal="left" wrapText="1"/>
      <protection hidden="1"/>
    </xf>
    <xf numFmtId="0" fontId="8" fillId="0" borderId="0" xfId="48" applyFont="1" applyAlignment="1" applyProtection="1">
      <alignment horizontal="left" vertical="center" wrapText="1"/>
      <protection hidden="1"/>
    </xf>
    <xf numFmtId="0" fontId="37" fillId="0" borderId="13" xfId="44" applyFont="1" applyBorder="1" applyAlignment="1" applyProtection="1">
      <alignment vertical="center" wrapText="1"/>
      <protection hidden="1"/>
    </xf>
    <xf numFmtId="0" fontId="64" fillId="0" borderId="0" xfId="48" applyAlignment="1" applyProtection="1">
      <alignment horizontal="left" vertical="center"/>
      <protection hidden="1"/>
    </xf>
    <xf numFmtId="0" fontId="37" fillId="0" borderId="12" xfId="44" applyFont="1" applyBorder="1" applyAlignment="1" applyProtection="1">
      <alignment horizontal="left" vertical="center"/>
      <protection hidden="1"/>
    </xf>
    <xf numFmtId="0" fontId="66" fillId="0" borderId="12" xfId="44" applyBorder="1" applyAlignment="1" applyProtection="1">
      <alignment horizontal="left" vertical="center" wrapText="1"/>
      <protection hidden="1"/>
    </xf>
    <xf numFmtId="0" fontId="66" fillId="0" borderId="14" xfId="44" applyBorder="1" applyAlignment="1" applyProtection="1">
      <alignment horizontal="left" vertical="top" wrapText="1"/>
      <protection hidden="1"/>
    </xf>
    <xf numFmtId="0" fontId="64" fillId="0" borderId="0" xfId="48" applyAlignment="1" applyProtection="1">
      <alignment horizontal="left" wrapText="1"/>
      <protection hidden="1"/>
    </xf>
    <xf numFmtId="166" fontId="50" fillId="23" borderId="0" xfId="35" applyAlignment="1" applyProtection="1">
      <alignment horizontal="left" vertical="center"/>
      <protection hidden="1"/>
    </xf>
    <xf numFmtId="0" fontId="50" fillId="23" borderId="0" xfId="35" applyNumberFormat="1" applyAlignment="1" applyProtection="1">
      <alignment horizontal="left" vertical="center"/>
      <protection hidden="1"/>
    </xf>
    <xf numFmtId="0" fontId="11" fillId="24" borderId="13" xfId="41" applyFont="1" applyBorder="1" applyAlignment="1" applyProtection="1">
      <alignment horizontal="left" vertical="center"/>
      <protection hidden="1"/>
    </xf>
    <xf numFmtId="0" fontId="66" fillId="0" borderId="13" xfId="44" applyBorder="1" applyAlignment="1" applyProtection="1">
      <alignment horizontal="left" vertical="top" wrapText="1"/>
      <protection hidden="1"/>
    </xf>
    <xf numFmtId="0" fontId="67" fillId="0" borderId="13" xfId="46" applyBorder="1" applyAlignment="1" applyProtection="1">
      <alignment horizontal="left" vertical="center"/>
      <protection hidden="1"/>
    </xf>
    <xf numFmtId="167" fontId="7" fillId="7" borderId="13" xfId="24" applyNumberFormat="1" applyFill="1" applyBorder="1" applyAlignment="1" applyProtection="1">
      <alignment horizontal="center" vertical="center"/>
      <protection hidden="1"/>
    </xf>
    <xf numFmtId="0" fontId="0" fillId="0" borderId="25" xfId="0" applyBorder="1" applyProtection="1">
      <protection locked="0"/>
    </xf>
    <xf numFmtId="166" fontId="50" fillId="0" borderId="13" xfId="1" applyNumberFormat="1" applyFill="1" applyBorder="1" applyProtection="1">
      <alignment horizontal="center" vertical="center"/>
      <protection hidden="1"/>
    </xf>
    <xf numFmtId="166" fontId="1" fillId="23" borderId="13" xfId="34" applyFont="1" applyBorder="1" applyProtection="1">
      <alignment horizontal="right" vertical="center" indent="1"/>
      <protection hidden="1"/>
    </xf>
    <xf numFmtId="166" fontId="50" fillId="0" borderId="12" xfId="1" applyNumberFormat="1" applyFill="1" applyBorder="1" applyProtection="1">
      <alignment horizontal="center" vertical="center"/>
      <protection hidden="1"/>
    </xf>
    <xf numFmtId="166" fontId="29" fillId="17" borderId="12" xfId="1" applyNumberFormat="1" applyFont="1" applyBorder="1" applyAlignment="1" applyProtection="1">
      <alignment horizontal="right" vertical="center" indent="1"/>
      <protection locked="0"/>
    </xf>
    <xf numFmtId="166" fontId="50" fillId="0" borderId="13" xfId="34" applyFill="1" applyBorder="1" applyAlignment="1" applyProtection="1">
      <alignment horizontal="center" vertical="top"/>
      <protection hidden="1"/>
    </xf>
    <xf numFmtId="0" fontId="67" fillId="0" borderId="0" xfId="46" applyAlignment="1" applyProtection="1">
      <alignment horizontal="left" vertical="center"/>
      <protection hidden="1"/>
    </xf>
    <xf numFmtId="0" fontId="24" fillId="31" borderId="109" xfId="9" applyFont="1" applyFill="1" applyBorder="1">
      <alignment vertical="center"/>
    </xf>
    <xf numFmtId="0" fontId="24" fillId="31" borderId="110" xfId="9" applyFont="1" applyFill="1" applyBorder="1">
      <alignment vertical="center"/>
    </xf>
    <xf numFmtId="0" fontId="24" fillId="31" borderId="111" xfId="9" applyFont="1" applyFill="1" applyBorder="1">
      <alignment vertical="center"/>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0" fontId="0" fillId="0" borderId="117" xfId="0" applyBorder="1" applyAlignment="1" applyProtection="1">
      <alignment horizontal="center" vertical="center" wrapText="1"/>
      <protection hidden="1"/>
    </xf>
    <xf numFmtId="0" fontId="0" fillId="0" borderId="118"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114" fillId="0" borderId="0" xfId="0" applyFont="1" applyAlignment="1" applyProtection="1">
      <alignment horizontal="center" vertical="center" wrapText="1"/>
      <protection hidden="1"/>
    </xf>
    <xf numFmtId="165" fontId="29" fillId="17" borderId="0" xfId="1" applyNumberFormat="1" applyFont="1" applyProtection="1">
      <alignment horizontal="center" vertical="center"/>
      <protection locked="0"/>
    </xf>
    <xf numFmtId="0" fontId="22" fillId="0" borderId="0" xfId="27" applyProtection="1">
      <alignment vertical="center"/>
      <protection hidden="1"/>
    </xf>
    <xf numFmtId="0" fontId="4" fillId="0" borderId="0" xfId="38" applyFont="1" applyProtection="1">
      <alignment horizontal="center" vertical="center"/>
      <protection hidden="1"/>
    </xf>
    <xf numFmtId="0" fontId="68" fillId="0" borderId="0" xfId="38" applyFont="1" applyProtection="1">
      <alignment horizontal="center" vertical="center"/>
      <protection hidden="1"/>
    </xf>
    <xf numFmtId="0" fontId="114" fillId="0" borderId="0" xfId="38" applyFont="1" applyAlignment="1" applyProtection="1">
      <alignment horizontal="center" vertical="center" wrapText="1"/>
      <protection hidden="1"/>
    </xf>
    <xf numFmtId="166" fontId="50" fillId="0" borderId="0" xfId="1" applyNumberFormat="1" applyFill="1" applyProtection="1">
      <alignment horizontal="center" vertical="center"/>
      <protection hidden="1"/>
    </xf>
    <xf numFmtId="166" fontId="68" fillId="23" borderId="13" xfId="35" applyFont="1" applyBorder="1" applyProtection="1">
      <alignment horizontal="right" vertical="center" indent="1"/>
      <protection hidden="1"/>
    </xf>
    <xf numFmtId="0" fontId="37" fillId="0" borderId="12" xfId="44" applyFont="1" applyBorder="1" applyAlignment="1" applyProtection="1">
      <alignment horizontal="left" vertical="center" wrapText="1"/>
      <protection hidden="1"/>
    </xf>
    <xf numFmtId="0" fontId="14" fillId="0" borderId="13" xfId="44" applyFont="1" applyBorder="1" applyAlignment="1" applyProtection="1">
      <alignment horizontal="left" vertical="center"/>
      <protection hidden="1"/>
    </xf>
    <xf numFmtId="0" fontId="37" fillId="0" borderId="13" xfId="44" applyFont="1" applyBorder="1" applyAlignment="1" applyProtection="1">
      <alignment horizontal="left" vertical="center"/>
      <protection hidden="1"/>
    </xf>
    <xf numFmtId="166" fontId="29" fillId="23" borderId="12" xfId="35" applyFont="1" applyBorder="1" applyProtection="1">
      <alignment horizontal="right" vertical="center" indent="1"/>
      <protection hidden="1"/>
    </xf>
    <xf numFmtId="0" fontId="115" fillId="0" borderId="0" xfId="38" applyFont="1" applyAlignment="1" applyProtection="1">
      <alignment horizontal="center" vertical="center" wrapText="1"/>
      <protection hidden="1"/>
    </xf>
    <xf numFmtId="0" fontId="0" fillId="0" borderId="50" xfId="0" applyBorder="1" applyAlignment="1" applyProtection="1">
      <alignment horizontal="left"/>
      <protection hidden="1"/>
    </xf>
    <xf numFmtId="0" fontId="0" fillId="0" borderId="13" xfId="0" applyBorder="1" applyAlignment="1" applyProtection="1">
      <alignment horizontal="left"/>
      <protection hidden="1"/>
    </xf>
    <xf numFmtId="0" fontId="0" fillId="0" borderId="51" xfId="0" applyBorder="1" applyAlignment="1" applyProtection="1">
      <alignment horizontal="left"/>
      <protection hidden="1"/>
    </xf>
    <xf numFmtId="0" fontId="0" fillId="0" borderId="5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51" xfId="0" applyBorder="1" applyAlignment="1" applyProtection="1">
      <alignment horizontal="center"/>
      <protection hidden="1"/>
    </xf>
    <xf numFmtId="0" fontId="0" fillId="0" borderId="25" xfId="0" applyBorder="1" applyAlignment="1" applyProtection="1">
      <alignment horizontal="left"/>
      <protection hidden="1"/>
    </xf>
    <xf numFmtId="0" fontId="75" fillId="30" borderId="30" xfId="0" applyFont="1" applyFill="1" applyBorder="1" applyAlignment="1" applyProtection="1">
      <alignment horizontal="center"/>
      <protection locked="0"/>
    </xf>
    <xf numFmtId="0" fontId="75" fillId="30" borderId="6" xfId="0" applyFont="1" applyFill="1" applyBorder="1" applyAlignment="1" applyProtection="1">
      <alignment horizontal="center"/>
      <protection locked="0"/>
    </xf>
    <xf numFmtId="171" fontId="83" fillId="33" borderId="30" xfId="0" applyNumberFormat="1" applyFont="1" applyFill="1" applyBorder="1" applyAlignment="1" applyProtection="1">
      <alignment horizontal="center"/>
      <protection locked="0"/>
    </xf>
    <xf numFmtId="171" fontId="83" fillId="33" borderId="42" xfId="0" applyNumberFormat="1" applyFont="1" applyFill="1" applyBorder="1" applyAlignment="1" applyProtection="1">
      <alignment horizontal="center"/>
      <protection locked="0"/>
    </xf>
    <xf numFmtId="171" fontId="83" fillId="33" borderId="52" xfId="0" applyNumberFormat="1" applyFont="1" applyFill="1" applyBorder="1" applyAlignment="1" applyProtection="1">
      <alignment horizontal="center"/>
      <protection locked="0"/>
    </xf>
    <xf numFmtId="0" fontId="64" fillId="27" borderId="30" xfId="0" applyFont="1" applyFill="1" applyBorder="1" applyAlignment="1" applyProtection="1">
      <alignment horizontal="center"/>
      <protection locked="0"/>
    </xf>
    <xf numFmtId="0" fontId="64" fillId="27" borderId="6" xfId="0" applyFont="1" applyFill="1" applyBorder="1" applyAlignment="1" applyProtection="1">
      <alignment horizontal="center"/>
      <protection locked="0"/>
    </xf>
    <xf numFmtId="0" fontId="92" fillId="0" borderId="30" xfId="0" applyFont="1" applyBorder="1" applyAlignment="1" applyProtection="1">
      <alignment horizontal="center" vertical="top"/>
      <protection locked="0"/>
    </xf>
    <xf numFmtId="0" fontId="92" fillId="0" borderId="42" xfId="0" applyFont="1" applyBorder="1" applyAlignment="1" applyProtection="1">
      <alignment horizontal="center" vertical="top"/>
      <protection locked="0"/>
    </xf>
    <xf numFmtId="0" fontId="92" fillId="0" borderId="52" xfId="0" applyFont="1" applyBorder="1" applyAlignment="1" applyProtection="1">
      <alignment horizontal="center" vertical="top"/>
      <protection locked="0"/>
    </xf>
    <xf numFmtId="0" fontId="91" fillId="0" borderId="105" xfId="0" applyFont="1" applyBorder="1" applyAlignment="1" applyProtection="1">
      <alignment horizontal="center" wrapText="1"/>
      <protection locked="0"/>
    </xf>
    <xf numFmtId="0" fontId="91" fillId="0" borderId="54" xfId="0" applyFont="1" applyBorder="1" applyAlignment="1" applyProtection="1">
      <alignment horizontal="center" wrapText="1"/>
      <protection locked="0"/>
    </xf>
    <xf numFmtId="0" fontId="91" fillId="0" borderId="106" xfId="0" applyFont="1" applyBorder="1" applyAlignment="1" applyProtection="1">
      <alignment horizontal="center" wrapText="1"/>
      <protection locked="0"/>
    </xf>
    <xf numFmtId="0" fontId="91" fillId="0" borderId="30" xfId="0" applyFont="1" applyBorder="1" applyAlignment="1" applyProtection="1">
      <alignment horizontal="center" vertical="top"/>
      <protection locked="0"/>
    </xf>
    <xf numFmtId="0" fontId="91" fillId="0" borderId="42" xfId="0" applyFont="1" applyBorder="1" applyAlignment="1" applyProtection="1">
      <alignment horizontal="center" vertical="top"/>
      <protection locked="0"/>
    </xf>
    <xf numFmtId="0" fontId="91" fillId="0" borderId="52" xfId="0" applyFont="1" applyBorder="1" applyAlignment="1" applyProtection="1">
      <alignment horizontal="center" vertical="top"/>
      <protection locked="0"/>
    </xf>
    <xf numFmtId="0" fontId="91" fillId="0" borderId="55" xfId="0" applyFont="1" applyBorder="1" applyAlignment="1" applyProtection="1">
      <alignment horizontal="center" vertical="top"/>
      <protection locked="0"/>
    </xf>
    <xf numFmtId="0" fontId="79" fillId="16" borderId="102" xfId="0" applyFont="1" applyFill="1" applyBorder="1" applyAlignment="1" applyProtection="1">
      <alignment horizontal="center" vertical="center"/>
      <protection locked="0"/>
    </xf>
    <xf numFmtId="0" fontId="79" fillId="16" borderId="103" xfId="0" applyFont="1" applyFill="1" applyBorder="1" applyAlignment="1" applyProtection="1">
      <alignment horizontal="center" vertical="center"/>
      <protection locked="0"/>
    </xf>
    <xf numFmtId="0" fontId="78" fillId="27" borderId="16" xfId="0" applyFont="1" applyFill="1" applyBorder="1" applyAlignment="1" applyProtection="1">
      <alignment horizontal="center"/>
      <protection locked="0"/>
    </xf>
    <xf numFmtId="0" fontId="78" fillId="27" borderId="10" xfId="0" applyFont="1" applyFill="1" applyBorder="1" applyAlignment="1" applyProtection="1">
      <alignment horizontal="center"/>
      <protection locked="0"/>
    </xf>
    <xf numFmtId="0" fontId="78" fillId="27" borderId="4" xfId="0" applyFont="1" applyFill="1" applyBorder="1" applyAlignment="1" applyProtection="1">
      <alignment horizontal="center"/>
      <protection locked="0"/>
    </xf>
    <xf numFmtId="0" fontId="79" fillId="16" borderId="30" xfId="0" applyFont="1" applyFill="1" applyBorder="1" applyAlignment="1" applyProtection="1">
      <alignment horizontal="center" vertical="center"/>
      <protection locked="0"/>
    </xf>
    <xf numFmtId="0" fontId="79" fillId="16" borderId="6" xfId="0" applyFont="1" applyFill="1" applyBorder="1" applyAlignment="1" applyProtection="1">
      <alignment horizontal="center" vertical="center"/>
      <protection locked="0"/>
    </xf>
    <xf numFmtId="10" fontId="76" fillId="0" borderId="30" xfId="0" applyNumberFormat="1" applyFont="1" applyBorder="1" applyAlignment="1" applyProtection="1">
      <alignment horizontal="center"/>
      <protection locked="0"/>
    </xf>
    <xf numFmtId="10" fontId="76" fillId="0" borderId="6" xfId="0" applyNumberFormat="1" applyFont="1" applyBorder="1" applyAlignment="1" applyProtection="1">
      <alignment horizontal="center"/>
      <protection locked="0"/>
    </xf>
    <xf numFmtId="0" fontId="83" fillId="0" borderId="30" xfId="0" applyFont="1" applyBorder="1" applyAlignment="1" applyProtection="1">
      <alignment horizontal="center"/>
      <protection locked="0"/>
    </xf>
    <xf numFmtId="0" fontId="83" fillId="0" borderId="42" xfId="0" applyFont="1" applyBorder="1" applyAlignment="1" applyProtection="1">
      <alignment horizontal="center"/>
      <protection locked="0"/>
    </xf>
    <xf numFmtId="0" fontId="83" fillId="0" borderId="52" xfId="0" applyFont="1" applyBorder="1" applyAlignment="1" applyProtection="1">
      <alignment horizontal="center"/>
      <protection locked="0"/>
    </xf>
    <xf numFmtId="0" fontId="80" fillId="0" borderId="149" xfId="0" applyFont="1" applyBorder="1" applyAlignment="1" applyProtection="1">
      <alignment horizontal="center" wrapText="1"/>
      <protection locked="0"/>
    </xf>
    <xf numFmtId="0" fontId="80" fillId="0" borderId="130" xfId="0" applyFont="1" applyBorder="1" applyAlignment="1" applyProtection="1">
      <alignment horizontal="center" wrapText="1"/>
      <protection locked="0"/>
    </xf>
    <xf numFmtId="0" fontId="90" fillId="7" borderId="34" xfId="0" applyFont="1" applyFill="1" applyBorder="1" applyAlignment="1" applyProtection="1">
      <alignment horizontal="center" vertical="top"/>
      <protection locked="0"/>
    </xf>
    <xf numFmtId="0" fontId="90" fillId="7" borderId="13" xfId="0" applyFont="1" applyFill="1" applyBorder="1" applyAlignment="1" applyProtection="1">
      <alignment horizontal="center" vertical="top"/>
      <protection locked="0"/>
    </xf>
    <xf numFmtId="0" fontId="90" fillId="7" borderId="53" xfId="0" applyFont="1" applyFill="1" applyBorder="1" applyAlignment="1" applyProtection="1">
      <alignment horizontal="center" vertical="top"/>
      <protection locked="0"/>
    </xf>
    <xf numFmtId="0" fontId="76" fillId="28" borderId="102" xfId="0" applyFont="1" applyFill="1" applyBorder="1" applyAlignment="1" applyProtection="1">
      <alignment horizontal="left"/>
      <protection locked="0"/>
    </xf>
    <xf numFmtId="0" fontId="76" fillId="28" borderId="103" xfId="0" applyFont="1" applyFill="1" applyBorder="1" applyAlignment="1" applyProtection="1">
      <alignment horizontal="left"/>
      <protection locked="0"/>
    </xf>
    <xf numFmtId="0" fontId="76" fillId="28" borderId="107" xfId="0" applyFont="1" applyFill="1" applyBorder="1" applyAlignment="1" applyProtection="1">
      <alignment horizontal="left"/>
      <protection locked="0"/>
    </xf>
    <xf numFmtId="0" fontId="76" fillId="28" borderId="102" xfId="0" applyFont="1" applyFill="1" applyBorder="1" applyAlignment="1" applyProtection="1">
      <alignment horizontal="left" vertical="top"/>
      <protection locked="0"/>
    </xf>
    <xf numFmtId="0" fontId="76" fillId="28" borderId="103" xfId="0" applyFont="1" applyFill="1" applyBorder="1" applyAlignment="1" applyProtection="1">
      <alignment horizontal="left" vertical="top"/>
      <protection locked="0"/>
    </xf>
    <xf numFmtId="0" fontId="76" fillId="28" borderId="107" xfId="0" applyFont="1" applyFill="1" applyBorder="1" applyAlignment="1" applyProtection="1">
      <alignment horizontal="left" vertical="top"/>
      <protection locked="0"/>
    </xf>
    <xf numFmtId="171" fontId="83" fillId="0" borderId="30" xfId="0" applyNumberFormat="1" applyFont="1" applyBorder="1" applyAlignment="1" applyProtection="1">
      <alignment horizontal="center"/>
      <protection locked="0"/>
    </xf>
    <xf numFmtId="171" fontId="83" fillId="0" borderId="42" xfId="0" applyNumberFormat="1" applyFont="1" applyBorder="1" applyAlignment="1" applyProtection="1">
      <alignment horizontal="center"/>
      <protection locked="0"/>
    </xf>
    <xf numFmtId="171" fontId="83" fillId="0" borderId="52" xfId="0" applyNumberFormat="1" applyFont="1" applyBorder="1" applyAlignment="1" applyProtection="1">
      <alignment horizontal="center"/>
      <protection locked="0"/>
    </xf>
    <xf numFmtId="0" fontId="108" fillId="8" borderId="147" xfId="0" applyFont="1" applyFill="1" applyBorder="1" applyAlignment="1" applyProtection="1">
      <alignment wrapText="1"/>
      <protection locked="0"/>
    </xf>
    <xf numFmtId="0" fontId="108" fillId="8" borderId="148" xfId="0" applyFont="1" applyFill="1" applyBorder="1" applyAlignment="1" applyProtection="1">
      <alignment wrapText="1"/>
      <protection locked="0"/>
    </xf>
    <xf numFmtId="0" fontId="0" fillId="0" borderId="148" xfId="0" applyBorder="1"/>
    <xf numFmtId="0" fontId="90" fillId="0" borderId="7" xfId="0" applyFont="1" applyBorder="1" applyAlignment="1" applyProtection="1">
      <alignment horizontal="center" vertical="center"/>
      <protection locked="0"/>
    </xf>
    <xf numFmtId="0" fontId="90" fillId="0" borderId="9" xfId="0" applyFont="1" applyBorder="1" applyAlignment="1" applyProtection="1">
      <alignment horizontal="center" vertical="center"/>
      <protection locked="0"/>
    </xf>
    <xf numFmtId="0" fontId="90" fillId="0" borderId="7" xfId="0" applyFont="1" applyBorder="1" applyAlignment="1" applyProtection="1">
      <alignment horizontal="justify" vertical="center"/>
      <protection locked="0"/>
    </xf>
    <xf numFmtId="0" fontId="90" fillId="0" borderId="9" xfId="0" applyFont="1" applyBorder="1" applyAlignment="1" applyProtection="1">
      <alignment horizontal="justify" vertical="center"/>
      <protection locked="0"/>
    </xf>
    <xf numFmtId="0" fontId="90" fillId="34" borderId="8" xfId="0" applyFont="1" applyFill="1" applyBorder="1" applyAlignment="1" applyProtection="1">
      <alignment horizontal="center" vertical="center" wrapText="1"/>
      <protection locked="0"/>
    </xf>
    <xf numFmtId="0" fontId="90" fillId="34" borderId="9" xfId="0" applyFont="1" applyFill="1" applyBorder="1" applyAlignment="1" applyProtection="1">
      <alignment horizontal="center" vertical="center" wrapText="1"/>
      <protection locked="0"/>
    </xf>
    <xf numFmtId="0" fontId="90" fillId="34" borderId="7" xfId="0" applyFont="1" applyFill="1" applyBorder="1" applyAlignment="1" applyProtection="1">
      <alignment horizontal="center" vertical="center" wrapText="1"/>
      <protection locked="0"/>
    </xf>
    <xf numFmtId="0" fontId="79" fillId="16" borderId="108" xfId="0" applyFont="1" applyFill="1" applyBorder="1" applyAlignment="1" applyProtection="1">
      <alignment horizontal="center" vertical="center"/>
      <protection locked="0"/>
    </xf>
    <xf numFmtId="0" fontId="89" fillId="34" borderId="8" xfId="0" applyFont="1" applyFill="1" applyBorder="1" applyAlignment="1" applyProtection="1">
      <alignment horizontal="center" vertical="center" wrapText="1"/>
      <protection locked="0"/>
    </xf>
    <xf numFmtId="0" fontId="89" fillId="34" borderId="9" xfId="0" applyFont="1" applyFill="1" applyBorder="1" applyAlignment="1" applyProtection="1">
      <alignment horizontal="center" vertical="center" wrapText="1"/>
      <protection locked="0"/>
    </xf>
    <xf numFmtId="0" fontId="78" fillId="29" borderId="99" xfId="0" applyFont="1" applyFill="1" applyBorder="1" applyAlignment="1" applyProtection="1">
      <alignment horizontal="center" vertical="center"/>
      <protection locked="0"/>
    </xf>
    <xf numFmtId="0" fontId="78" fillId="29" borderId="100" xfId="0" applyFont="1" applyFill="1" applyBorder="1" applyAlignment="1" applyProtection="1">
      <alignment horizontal="center" vertical="center"/>
      <protection locked="0"/>
    </xf>
    <xf numFmtId="0" fontId="78" fillId="29" borderId="101" xfId="0" applyFont="1" applyFill="1" applyBorder="1" applyAlignment="1" applyProtection="1">
      <alignment horizontal="center" vertical="center"/>
      <protection locked="0"/>
    </xf>
    <xf numFmtId="0" fontId="78" fillId="29" borderId="102" xfId="0" applyFont="1" applyFill="1" applyBorder="1" applyAlignment="1" applyProtection="1">
      <alignment horizontal="center" vertical="center"/>
      <protection locked="0"/>
    </xf>
    <xf numFmtId="0" fontId="78" fillId="29" borderId="103" xfId="0" applyFont="1" applyFill="1" applyBorder="1" applyAlignment="1" applyProtection="1">
      <alignment horizontal="center" vertical="center"/>
      <protection locked="0"/>
    </xf>
    <xf numFmtId="0" fontId="78" fillId="29" borderId="104" xfId="0" applyFont="1" applyFill="1" applyBorder="1" applyAlignment="1" applyProtection="1">
      <alignment horizontal="center" vertical="center"/>
      <protection locked="0"/>
    </xf>
    <xf numFmtId="0" fontId="91" fillId="0" borderId="7" xfId="0" applyFont="1" applyBorder="1" applyAlignment="1" applyProtection="1">
      <alignment horizontal="center" vertical="center" wrapText="1"/>
      <protection locked="0"/>
    </xf>
    <xf numFmtId="0" fontId="91" fillId="0" borderId="8" xfId="0" applyFont="1" applyBorder="1" applyAlignment="1" applyProtection="1">
      <alignment horizontal="center" vertical="center" wrapText="1"/>
      <protection locked="0"/>
    </xf>
    <xf numFmtId="0" fontId="91" fillId="0" borderId="9"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89" fillId="0" borderId="58" xfId="0" applyFont="1" applyBorder="1" applyAlignment="1" applyProtection="1">
      <alignment horizontal="center" vertical="center" wrapText="1"/>
      <protection locked="0"/>
    </xf>
    <xf numFmtId="0" fontId="90" fillId="0" borderId="56" xfId="0" applyFont="1" applyBorder="1" applyAlignment="1" applyProtection="1">
      <alignment horizontal="center" vertical="center"/>
      <protection locked="0"/>
    </xf>
    <xf numFmtId="0" fontId="90" fillId="0" borderId="56" xfId="0" applyFont="1" applyBorder="1" applyAlignment="1" applyProtection="1">
      <alignment horizontal="justify" vertical="center"/>
      <protection locked="0"/>
    </xf>
    <xf numFmtId="0" fontId="89" fillId="0" borderId="11" xfId="0" applyFont="1" applyBorder="1" applyAlignment="1" applyProtection="1">
      <alignment horizontal="center" vertical="center"/>
      <protection locked="0"/>
    </xf>
    <xf numFmtId="0" fontId="89" fillId="0" borderId="59" xfId="0" applyFont="1" applyBorder="1" applyAlignment="1" applyProtection="1">
      <alignment horizontal="center" vertical="center"/>
      <protection locked="0"/>
    </xf>
    <xf numFmtId="0" fontId="89" fillId="0" borderId="60" xfId="0" applyFont="1" applyBorder="1" applyAlignment="1" applyProtection="1">
      <alignment horizontal="center" vertical="center"/>
      <protection locked="0"/>
    </xf>
    <xf numFmtId="0" fontId="89" fillId="0" borderId="61" xfId="0" applyFont="1" applyBorder="1" applyAlignment="1" applyProtection="1">
      <alignment horizontal="center" vertical="center"/>
      <protection locked="0"/>
    </xf>
    <xf numFmtId="0" fontId="90" fillId="34" borderId="166" xfId="0" applyFont="1" applyFill="1" applyBorder="1" applyAlignment="1" applyProtection="1">
      <alignment horizontal="center" vertical="center" wrapText="1"/>
      <protection locked="0"/>
    </xf>
    <xf numFmtId="0" fontId="90" fillId="34" borderId="164" xfId="0" applyFont="1" applyFill="1" applyBorder="1" applyAlignment="1" applyProtection="1">
      <alignment horizontal="center" vertical="center" wrapText="1"/>
      <protection locked="0"/>
    </xf>
    <xf numFmtId="0" fontId="76" fillId="27" borderId="102" xfId="0" applyFont="1" applyFill="1" applyBorder="1" applyAlignment="1" applyProtection="1">
      <alignment horizontal="center"/>
      <protection locked="0"/>
    </xf>
    <xf numFmtId="0" fontId="76" fillId="27" borderId="103" xfId="0" applyFont="1" applyFill="1" applyBorder="1" applyAlignment="1" applyProtection="1">
      <alignment horizontal="center"/>
      <protection locked="0"/>
    </xf>
    <xf numFmtId="0" fontId="76" fillId="27" borderId="108" xfId="0" applyFont="1" applyFill="1" applyBorder="1" applyAlignment="1" applyProtection="1">
      <alignment horizontal="center"/>
      <protection locked="0"/>
    </xf>
    <xf numFmtId="0" fontId="80" fillId="0" borderId="7" xfId="0" applyFont="1" applyBorder="1" applyAlignment="1" applyProtection="1">
      <alignment horizontal="left" wrapText="1"/>
      <protection locked="0"/>
    </xf>
    <xf numFmtId="0" fontId="80" fillId="0" borderId="9" xfId="0" applyFont="1" applyBorder="1" applyAlignment="1" applyProtection="1">
      <alignment horizontal="left" wrapText="1"/>
      <protection locked="0"/>
    </xf>
    <xf numFmtId="0" fontId="81" fillId="0" borderId="30" xfId="0" applyFont="1" applyBorder="1" applyAlignment="1" applyProtection="1">
      <alignment wrapText="1"/>
      <protection locked="0"/>
    </xf>
    <xf numFmtId="0" fontId="81" fillId="0" borderId="42" xfId="0" applyFont="1" applyBorder="1" applyAlignment="1" applyProtection="1">
      <alignment wrapText="1"/>
      <protection locked="0"/>
    </xf>
    <xf numFmtId="0" fontId="81" fillId="0" borderId="6" xfId="0" applyFont="1" applyBorder="1" applyAlignment="1" applyProtection="1">
      <alignment wrapText="1"/>
      <protection locked="0"/>
    </xf>
    <xf numFmtId="0" fontId="81" fillId="8" borderId="30" xfId="0" applyFont="1" applyFill="1" applyBorder="1" applyAlignment="1" applyProtection="1">
      <alignment wrapText="1"/>
      <protection locked="0"/>
    </xf>
    <xf numFmtId="0" fontId="81" fillId="8" borderId="42" xfId="0" applyFont="1" applyFill="1" applyBorder="1" applyAlignment="1" applyProtection="1">
      <alignment wrapText="1"/>
      <protection locked="0"/>
    </xf>
    <xf numFmtId="0" fontId="81" fillId="8" borderId="6" xfId="0" applyFont="1" applyFill="1" applyBorder="1" applyAlignment="1" applyProtection="1">
      <alignment wrapText="1"/>
      <protection locked="0"/>
    </xf>
    <xf numFmtId="0" fontId="78" fillId="27" borderId="102" xfId="0" applyFont="1" applyFill="1" applyBorder="1" applyAlignment="1" applyProtection="1">
      <alignment horizontal="center"/>
      <protection locked="0"/>
    </xf>
    <xf numFmtId="0" fontId="78" fillId="27" borderId="103" xfId="0" applyFont="1" applyFill="1" applyBorder="1" applyAlignment="1" applyProtection="1">
      <alignment horizontal="center"/>
      <protection locked="0"/>
    </xf>
    <xf numFmtId="0" fontId="78" fillId="27" borderId="108" xfId="0" applyFont="1" applyFill="1" applyBorder="1" applyAlignment="1" applyProtection="1">
      <alignment horizontal="center"/>
      <protection locked="0"/>
    </xf>
    <xf numFmtId="0" fontId="80" fillId="0" borderId="147" xfId="0" applyFont="1" applyBorder="1" applyAlignment="1" applyProtection="1">
      <alignment horizontal="center"/>
      <protection locked="0"/>
    </xf>
    <xf numFmtId="0" fontId="80" fillId="0" borderId="148" xfId="0" applyFont="1" applyBorder="1" applyAlignment="1" applyProtection="1">
      <alignment horizontal="center"/>
      <protection locked="0"/>
    </xf>
    <xf numFmtId="0" fontId="78" fillId="27" borderId="128" xfId="0" applyFont="1" applyFill="1" applyBorder="1" applyAlignment="1" applyProtection="1">
      <alignment horizontal="center"/>
      <protection locked="0"/>
    </xf>
    <xf numFmtId="0" fontId="78" fillId="27" borderId="129" xfId="0" applyFont="1" applyFill="1" applyBorder="1" applyAlignment="1" applyProtection="1">
      <alignment horizontal="center"/>
      <protection locked="0"/>
    </xf>
    <xf numFmtId="0" fontId="0" fillId="0" borderId="129" xfId="0" applyBorder="1"/>
    <xf numFmtId="0" fontId="81" fillId="8" borderId="147" xfId="0" applyFont="1" applyFill="1" applyBorder="1" applyAlignment="1" applyProtection="1">
      <alignment wrapText="1"/>
      <protection locked="0"/>
    </xf>
    <xf numFmtId="0" fontId="81" fillId="8" borderId="148" xfId="0" applyFont="1" applyFill="1" applyBorder="1" applyAlignment="1" applyProtection="1">
      <alignment wrapText="1"/>
      <protection locked="0"/>
    </xf>
    <xf numFmtId="0" fontId="78" fillId="27" borderId="40" xfId="0" applyFont="1" applyFill="1" applyBorder="1" applyAlignment="1" applyProtection="1">
      <alignment horizontal="center"/>
      <protection locked="0"/>
    </xf>
    <xf numFmtId="0" fontId="78" fillId="27" borderId="12" xfId="0" applyFont="1" applyFill="1" applyBorder="1" applyAlignment="1" applyProtection="1">
      <alignment horizontal="center"/>
      <protection locked="0"/>
    </xf>
    <xf numFmtId="0" fontId="33" fillId="15" borderId="42" xfId="0" applyFont="1" applyFill="1" applyBorder="1" applyAlignment="1">
      <alignment horizontal="left" vertical="center"/>
    </xf>
  </cellXfs>
  <cellStyles count="53">
    <cellStyle name="A_Remplir" xfId="1" xr:uid="{00000000-0005-0000-0000-000000000000}"/>
    <cellStyle name="A_Remplir_2 - Données Résidentiel" xfId="2" xr:uid="{00000000-0005-0000-0000-000001000000}"/>
    <cellStyle name="A_Remplir_3 - Données ICI" xfId="3" xr:uid="{00000000-0005-0000-0000-000002000000}"/>
    <cellStyle name="A_Remplir_4 - Données ICI" xfId="4" xr:uid="{00000000-0005-0000-0000-000003000000}"/>
    <cellStyle name="A_Remplir_Outil_preliminaire_V11-97_2003" xfId="5" xr:uid="{00000000-0005-0000-0000-000004000000}"/>
    <cellStyle name="Alerte" xfId="6" xr:uid="{00000000-0005-0000-0000-000005000000}"/>
    <cellStyle name="Alerte ss fond" xfId="51" xr:uid="{00000000-0005-0000-0000-000006000000}"/>
    <cellStyle name="Alerte_Gd" xfId="7" xr:uid="{00000000-0005-0000-0000-000007000000}"/>
    <cellStyle name="alerte2" xfId="50" xr:uid="{00000000-0005-0000-0000-000008000000}"/>
    <cellStyle name="Cache_cache" xfId="8" xr:uid="{00000000-0005-0000-0000-000009000000}"/>
    <cellStyle name="CRD" xfId="9" xr:uid="{00000000-0005-0000-0000-00000A000000}"/>
    <cellStyle name="CRD 2" xfId="10" xr:uid="{00000000-0005-0000-0000-00000B000000}"/>
    <cellStyle name="CRD_2 - Données Résidentiel" xfId="11" xr:uid="{00000000-0005-0000-0000-00000C000000}"/>
    <cellStyle name="Ecart" xfId="49" xr:uid="{00000000-0005-0000-0000-00000D000000}"/>
    <cellStyle name="General" xfId="12" xr:uid="{00000000-0005-0000-0000-00000E000000}"/>
    <cellStyle name="General 2" xfId="13" xr:uid="{00000000-0005-0000-0000-00000F000000}"/>
    <cellStyle name="General_2 - Données Résidentiel" xfId="14" xr:uid="{00000000-0005-0000-0000-000010000000}"/>
    <cellStyle name="ICI" xfId="15" xr:uid="{00000000-0005-0000-0000-000011000000}"/>
    <cellStyle name="ICI_Outil_preliminaire_V11-97_2003" xfId="16" xr:uid="{00000000-0005-0000-0000-000012000000}"/>
    <cellStyle name="Info_generales" xfId="17" xr:uid="{00000000-0005-0000-0000-000013000000}"/>
    <cellStyle name="Lien" xfId="18" xr:uid="{00000000-0005-0000-0000-000014000000}"/>
    <cellStyle name="Lien hypertexte" xfId="52" builtinId="8"/>
    <cellStyle name="Lien hypertexte 2" xfId="19" xr:uid="{00000000-0005-0000-0000-000016000000}"/>
    <cellStyle name="Ligne" xfId="20" xr:uid="{00000000-0005-0000-0000-000017000000}"/>
    <cellStyle name="Normal" xfId="0" builtinId="0"/>
    <cellStyle name="Normal_parametres" xfId="21" xr:uid="{00000000-0005-0000-0000-000019000000}"/>
    <cellStyle name="numero" xfId="22" xr:uid="{00000000-0005-0000-0000-00001A000000}"/>
    <cellStyle name="Phrase" xfId="23" xr:uid="{00000000-0005-0000-0000-00001B000000}"/>
    <cellStyle name="Pourcentage" xfId="24" builtinId="5"/>
    <cellStyle name="puce1" xfId="25" xr:uid="{00000000-0005-0000-0000-00001D000000}"/>
    <cellStyle name="puce2" xfId="26" xr:uid="{00000000-0005-0000-0000-00001E000000}"/>
    <cellStyle name="Q1" xfId="27" xr:uid="{00000000-0005-0000-0000-00001F000000}"/>
    <cellStyle name="Q1_2 - Données Résidentiel" xfId="28" xr:uid="{00000000-0005-0000-0000-000020000000}"/>
    <cellStyle name="Q1-ICI" xfId="29" xr:uid="{00000000-0005-0000-0000-000021000000}"/>
    <cellStyle name="Q1-Residentiel" xfId="30" xr:uid="{00000000-0005-0000-0000-000022000000}"/>
    <cellStyle name="Q2" xfId="31" xr:uid="{00000000-0005-0000-0000-000023000000}"/>
    <cellStyle name="Q3" xfId="32" xr:uid="{00000000-0005-0000-0000-000024000000}"/>
    <cellStyle name="Residentiel" xfId="33" xr:uid="{00000000-0005-0000-0000-000025000000}"/>
    <cellStyle name="Resultat" xfId="34" xr:uid="{00000000-0005-0000-0000-000026000000}"/>
    <cellStyle name="Resultat 2" xfId="35" xr:uid="{00000000-0005-0000-0000-000027000000}"/>
    <cellStyle name="Resultat_2 - Données Résidentiel" xfId="36" xr:uid="{00000000-0005-0000-0000-000028000000}"/>
    <cellStyle name="Resultat_Outil_preliminaire_V11-97_2003" xfId="37" xr:uid="{00000000-0005-0000-0000-000029000000}"/>
    <cellStyle name="Tab_col" xfId="38" xr:uid="{00000000-0005-0000-0000-00002A000000}"/>
    <cellStyle name="Tab_col_Outil_preliminaire_V11-97_2003" xfId="39" xr:uid="{00000000-0005-0000-0000-00002B000000}"/>
    <cellStyle name="Tab_ligne1" xfId="40" xr:uid="{00000000-0005-0000-0000-00002C000000}"/>
    <cellStyle name="Tab_ligne1 2" xfId="41" xr:uid="{00000000-0005-0000-0000-00002D000000}"/>
    <cellStyle name="Tab_ligne1_Outil_preliminaire_V11-97_2003" xfId="42" xr:uid="{00000000-0005-0000-0000-00002E000000}"/>
    <cellStyle name="Tab_ligne2" xfId="43" xr:uid="{00000000-0005-0000-0000-00002F000000}"/>
    <cellStyle name="Tab_ligne2 2" xfId="44" xr:uid="{00000000-0005-0000-0000-000030000000}"/>
    <cellStyle name="Tab_ligne2_Outil_preliminaire_V11-97_2003" xfId="45" xr:uid="{00000000-0005-0000-0000-000031000000}"/>
    <cellStyle name="Tab_ligne3" xfId="46" xr:uid="{00000000-0005-0000-0000-000032000000}"/>
    <cellStyle name="Tab_ligne3_Outil_preliminaire_V11-97_2003" xfId="47" xr:uid="{00000000-0005-0000-0000-000033000000}"/>
    <cellStyle name="Titre1 2" xfId="48" xr:uid="{00000000-0005-0000-0000-000034000000}"/>
  </cellStyles>
  <dxfs count="214">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0"/>
        </patternFill>
      </fill>
    </dxf>
    <dxf>
      <fill>
        <patternFill>
          <bgColor indexed="42"/>
        </patternFill>
      </fill>
    </dxf>
    <dxf>
      <fill>
        <patternFill>
          <bgColor indexed="42"/>
        </patternFill>
      </fill>
    </dxf>
    <dxf>
      <fill>
        <patternFill>
          <bgColor indexed="42"/>
        </patternFill>
      </fill>
    </dxf>
    <dxf>
      <fill>
        <patternFill>
          <bgColor indexed="42"/>
        </patternFill>
      </fill>
    </dxf>
    <dxf>
      <font>
        <color theme="0"/>
      </font>
      <fill>
        <patternFill>
          <bgColor theme="0"/>
        </patternFill>
      </fill>
    </dxf>
    <dxf>
      <fill>
        <patternFill>
          <bgColor indexed="42"/>
        </patternFill>
      </fill>
    </dxf>
    <dxf>
      <fill>
        <patternFill>
          <bgColor indexed="42"/>
        </patternFill>
      </fill>
    </dxf>
    <dxf>
      <font>
        <color theme="0"/>
      </font>
      <fill>
        <patternFill>
          <bgColor theme="0"/>
        </patternFill>
      </fill>
    </dxf>
    <dxf>
      <fill>
        <patternFill>
          <bgColor indexed="42"/>
        </patternFill>
      </fill>
    </dxf>
    <dxf>
      <fill>
        <patternFill>
          <bgColor indexed="42"/>
        </patternFill>
      </fill>
    </dxf>
    <dxf>
      <font>
        <b/>
        <i val="0"/>
      </font>
    </dxf>
    <dxf>
      <font>
        <b/>
        <i val="0"/>
      </font>
    </dxf>
    <dxf>
      <font>
        <b/>
        <i val="0"/>
      </font>
    </dxf>
    <dxf>
      <font>
        <b/>
        <i val="0"/>
      </font>
    </dxf>
    <dxf>
      <font>
        <b/>
        <i val="0"/>
      </font>
    </dxf>
    <dxf>
      <font>
        <b/>
        <i val="0"/>
      </font>
    </dxf>
    <dxf>
      <font>
        <b/>
        <i val="0"/>
      </font>
    </dxf>
    <dxf>
      <font>
        <b/>
        <i val="0"/>
      </font>
    </dxf>
    <dxf>
      <fill>
        <patternFill>
          <bgColor indexed="42"/>
        </patternFill>
      </fill>
    </dxf>
    <dxf>
      <fill>
        <patternFill>
          <bgColor indexed="42"/>
        </patternFill>
      </fill>
    </dxf>
    <dxf>
      <fill>
        <patternFill>
          <bgColor indexed="42"/>
        </patternFill>
      </fill>
    </dxf>
    <dxf>
      <font>
        <color theme="0"/>
      </font>
      <fill>
        <patternFill>
          <bgColor theme="0"/>
        </patternFill>
      </fill>
    </dxf>
    <dxf>
      <font>
        <color theme="0"/>
      </font>
      <fill>
        <patternFill>
          <bgColor theme="0"/>
        </patternFill>
      </fill>
      <border>
        <left/>
        <right/>
        <top/>
        <bottom/>
      </border>
    </dxf>
    <dxf>
      <fill>
        <patternFill>
          <bgColor rgb="FFCCFFCC"/>
        </patternFill>
      </fill>
    </dxf>
    <dxf>
      <font>
        <b/>
        <i val="0"/>
      </font>
    </dxf>
    <dxf>
      <font>
        <b/>
        <i val="0"/>
      </font>
    </dxf>
    <dxf>
      <font>
        <color theme="0"/>
      </font>
      <fill>
        <patternFill>
          <bgColor rgb="FFDD0806"/>
        </patternFill>
      </fill>
    </dxf>
    <dxf>
      <font>
        <color theme="0"/>
      </font>
      <fill>
        <patternFill>
          <bgColor rgb="FFDD0806"/>
        </patternFill>
      </fill>
    </dxf>
    <dxf>
      <font>
        <color indexed="9"/>
      </font>
      <fill>
        <patternFill>
          <bgColor indexed="10"/>
        </patternFill>
      </fill>
    </dxf>
    <dxf>
      <font>
        <color indexed="9"/>
      </font>
      <fill>
        <patternFill>
          <bgColor indexed="10"/>
        </patternFill>
      </fill>
    </dxf>
    <dxf>
      <font>
        <condense val="0"/>
        <extend val="0"/>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50"/>
        </patternFill>
      </fill>
    </dxf>
    <dxf>
      <font>
        <color indexed="9"/>
      </font>
      <fill>
        <patternFill>
          <bgColor indexed="10"/>
        </patternFill>
      </fill>
    </dxf>
    <dxf>
      <font>
        <color indexed="9"/>
      </font>
      <fill>
        <patternFill>
          <bgColor indexed="9"/>
        </patternFill>
      </fill>
    </dxf>
    <dxf>
      <fill>
        <patternFill>
          <bgColor indexed="43"/>
        </patternFill>
      </fill>
    </dxf>
    <dxf>
      <fill>
        <patternFill>
          <bgColor indexed="50"/>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b/>
        <i val="0"/>
      </font>
    </dxf>
    <dxf>
      <font>
        <color theme="0"/>
      </font>
      <fill>
        <patternFill patternType="none">
          <bgColor auto="1"/>
        </patternFill>
      </fill>
      <border>
        <left/>
        <right/>
        <top/>
        <bottom/>
        <vertical/>
        <horizontal/>
      </border>
    </dxf>
    <dxf>
      <fill>
        <patternFill>
          <bgColor indexed="42"/>
        </patternFill>
      </fill>
    </dxf>
    <dxf>
      <fill>
        <patternFill>
          <bgColor indexed="42"/>
        </patternFill>
      </fill>
    </dxf>
    <dxf>
      <fill>
        <patternFill>
          <bgColor indexed="42"/>
        </patternFill>
      </fill>
    </dxf>
    <dxf>
      <fill>
        <patternFill>
          <bgColor indexed="42"/>
        </patternFill>
      </fill>
    </dxf>
    <dxf>
      <font>
        <color indexed="9"/>
      </font>
      <fill>
        <patternFill>
          <bgColor indexed="9"/>
        </patternFill>
      </fill>
      <border>
        <left/>
        <right/>
        <top/>
        <bottom/>
      </border>
    </dxf>
    <dxf>
      <font>
        <condense val="0"/>
        <extend val="0"/>
        <color indexed="9"/>
      </font>
      <fill>
        <patternFill>
          <bgColor indexed="9"/>
        </patternFill>
      </fill>
    </dxf>
    <dxf>
      <fill>
        <patternFill>
          <bgColor indexed="42"/>
        </patternFill>
      </fill>
    </dxf>
    <dxf>
      <fill>
        <patternFill>
          <bgColor indexed="42"/>
        </patternFill>
      </fill>
    </dxf>
    <dxf>
      <font>
        <color indexed="9"/>
      </font>
      <fill>
        <patternFill>
          <bgColor indexed="9"/>
        </patternFill>
      </fill>
    </dxf>
    <dxf>
      <font>
        <color indexed="9"/>
      </font>
      <fill>
        <patternFill>
          <bgColor indexed="9"/>
        </patternFill>
      </fill>
      <border>
        <left/>
        <right/>
        <top/>
        <bottom/>
      </border>
    </dxf>
    <dxf>
      <fill>
        <patternFill>
          <bgColor indexed="42"/>
        </patternFill>
      </fill>
    </dxf>
    <dxf>
      <fill>
        <patternFill>
          <bgColor indexed="42"/>
        </patternFill>
      </fill>
    </dxf>
    <dxf>
      <font>
        <b/>
        <i val="0"/>
      </font>
    </dxf>
    <dxf>
      <font>
        <color indexed="9"/>
      </font>
      <fill>
        <patternFill>
          <bgColor indexed="9"/>
        </patternFill>
      </fill>
      <border>
        <left/>
        <right/>
        <top/>
        <bottom/>
      </border>
    </dxf>
    <dxf>
      <fill>
        <patternFill>
          <bgColor indexed="42"/>
        </patternFill>
      </fill>
    </dxf>
    <dxf>
      <fill>
        <patternFill>
          <bgColor indexed="42"/>
        </patternFill>
      </fill>
    </dxf>
    <dxf>
      <font>
        <b/>
        <i val="0"/>
      </font>
    </dxf>
    <dxf>
      <font>
        <color indexed="9"/>
      </font>
      <fill>
        <patternFill>
          <bgColor indexed="9"/>
        </patternFill>
      </fill>
    </dxf>
    <dxf>
      <font>
        <color indexed="9"/>
      </font>
      <fill>
        <patternFill>
          <bgColor indexed="9"/>
        </patternFill>
      </fill>
      <border>
        <left/>
        <right/>
        <top/>
        <bottom/>
      </border>
    </dxf>
    <dxf>
      <font>
        <color indexed="9"/>
      </font>
      <fill>
        <patternFill>
          <bgColor indexed="9"/>
        </patternFill>
      </fill>
    </dxf>
    <dxf>
      <fill>
        <patternFill>
          <bgColor indexed="42"/>
        </patternFill>
      </fill>
    </dxf>
    <dxf>
      <fill>
        <patternFill>
          <bgColor indexed="42"/>
        </patternFill>
      </fill>
    </dxf>
    <dxf>
      <fill>
        <patternFill>
          <bgColor indexed="42"/>
        </patternFill>
      </fill>
    </dxf>
    <dxf>
      <font>
        <b/>
        <i val="0"/>
      </font>
    </dxf>
    <dxf>
      <font>
        <b/>
        <i val="0"/>
      </font>
    </dxf>
    <dxf>
      <font>
        <b/>
        <i val="0"/>
      </font>
    </dxf>
    <dxf>
      <font>
        <color theme="0"/>
      </font>
      <fill>
        <patternFill>
          <bgColor rgb="FFDD0806"/>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50"/>
        </patternFill>
      </fill>
    </dxf>
    <dxf>
      <font>
        <color indexed="9"/>
      </font>
      <fill>
        <patternFill>
          <bgColor indexed="10"/>
        </patternFill>
      </fill>
    </dxf>
    <dxf>
      <font>
        <color indexed="9"/>
      </font>
      <fill>
        <patternFill>
          <bgColor indexed="10"/>
        </patternFill>
      </fill>
    </dxf>
    <dxf>
      <font>
        <color indexed="9"/>
      </font>
      <fill>
        <patternFill>
          <bgColor indexed="9"/>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indexed="43"/>
        </patternFill>
      </fill>
    </dxf>
    <dxf>
      <fill>
        <patternFill>
          <bgColor indexed="50"/>
        </patternFill>
      </fill>
    </dxf>
    <dxf>
      <font>
        <color indexed="9"/>
      </font>
      <fill>
        <patternFill>
          <bgColor indexed="1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border>
        <right style="thin">
          <color rgb="FFFF0000"/>
        </right>
        <vertical/>
        <horizontal/>
      </border>
    </dxf>
    <dxf>
      <border>
        <left style="thin">
          <color rgb="FFFF0000"/>
        </left>
        <vertical/>
        <horizontal/>
      </border>
    </dxf>
    <dxf>
      <border>
        <left style="thin">
          <color rgb="FFFF0000"/>
        </left>
        <right style="thin">
          <color rgb="FFFF0000"/>
        </right>
        <bottom style="thin">
          <color rgb="FFFF0000"/>
        </bottom>
        <vertical/>
        <horizontal/>
      </border>
    </dxf>
    <dxf>
      <border>
        <top style="thin">
          <color rgb="FFFF0000"/>
        </top>
        <vertical/>
        <horizontal/>
      </border>
    </dxf>
    <dxf>
      <fill>
        <patternFill>
          <bgColor rgb="FFCCFFCC"/>
        </patternFill>
      </fill>
    </dxf>
    <dxf>
      <font>
        <b/>
        <i val="0"/>
        <color rgb="FFFF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b/>
        <i val="0"/>
      </font>
    </dxf>
    <dxf>
      <font>
        <condense val="0"/>
        <extend val="0"/>
        <color indexed="9"/>
      </font>
      <fill>
        <patternFill>
          <bgColor indexed="9"/>
        </patternFill>
      </fill>
    </dxf>
    <dxf>
      <font>
        <color indexed="9"/>
      </font>
      <fill>
        <patternFill>
          <bgColor indexed="9"/>
        </patternFill>
      </fill>
      <border>
        <left/>
        <right/>
        <top/>
        <bottom/>
      </border>
    </dxf>
    <dxf>
      <fill>
        <patternFill>
          <bgColor indexed="42"/>
        </patternFill>
      </fill>
    </dxf>
    <dxf>
      <fill>
        <patternFill>
          <bgColor indexed="42"/>
        </patternFill>
      </fill>
    </dxf>
    <dxf>
      <font>
        <color indexed="9"/>
      </font>
      <fill>
        <patternFill>
          <bgColor indexed="9"/>
        </patternFill>
      </fill>
      <border>
        <left/>
        <right/>
        <top/>
        <bottom/>
      </border>
    </dxf>
    <dxf>
      <fill>
        <patternFill>
          <bgColor indexed="42"/>
        </patternFill>
      </fill>
    </dxf>
    <dxf>
      <fill>
        <patternFill>
          <bgColor indexed="42"/>
        </patternFill>
      </fill>
    </dxf>
    <dxf>
      <font>
        <color indexed="9"/>
      </font>
      <fill>
        <patternFill>
          <bgColor indexed="9"/>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indexed="42"/>
        </patternFill>
      </fill>
    </dxf>
    <dxf>
      <font>
        <color indexed="9"/>
      </font>
      <fill>
        <patternFill>
          <bgColor indexed="9"/>
        </patternFill>
      </fill>
      <border>
        <left/>
        <right/>
        <top/>
        <bottom/>
      </border>
    </dxf>
    <dxf>
      <font>
        <color indexed="9"/>
      </font>
      <fill>
        <patternFill>
          <bgColor indexed="9"/>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8"/>
      </font>
      <fill>
        <patternFill>
          <bgColor indexed="42"/>
        </patternFill>
      </fill>
    </dxf>
    <dxf>
      <fill>
        <patternFill>
          <bgColor indexed="42"/>
        </patternFill>
      </fill>
    </dxf>
    <dxf>
      <font>
        <color indexed="9"/>
      </font>
      <fill>
        <patternFill>
          <bgColor indexed="9"/>
        </patternFill>
      </fill>
      <border>
        <left/>
        <right/>
        <top/>
        <bottom/>
      </border>
    </dxf>
    <dxf>
      <font>
        <color indexed="9"/>
      </font>
      <fill>
        <patternFill>
          <bgColor indexed="9"/>
        </patternFill>
      </fill>
    </dxf>
    <dxf>
      <font>
        <color indexed="9"/>
      </font>
      <fill>
        <patternFill>
          <bgColor indexed="9"/>
        </patternFill>
      </fill>
    </dxf>
    <dxf>
      <fill>
        <patternFill>
          <bgColor indexed="42"/>
        </patternFill>
      </fill>
    </dxf>
    <dxf>
      <fill>
        <patternFill>
          <bgColor indexed="42"/>
        </patternFill>
      </fill>
    </dxf>
    <dxf>
      <font>
        <color indexed="9"/>
      </font>
      <fill>
        <patternFill>
          <bgColor indexed="9"/>
        </patternFill>
      </fill>
      <border>
        <left/>
        <right/>
        <top/>
        <bottom/>
      </border>
    </dxf>
    <dxf>
      <fill>
        <patternFill>
          <bgColor indexed="42"/>
        </patternFill>
      </fill>
    </dxf>
    <dxf>
      <fill>
        <patternFill>
          <bgColor indexed="42"/>
        </patternFill>
      </fill>
    </dxf>
    <dxf>
      <font>
        <color indexed="9"/>
      </font>
      <fill>
        <patternFill>
          <bgColor indexed="9"/>
        </patternFill>
      </fill>
    </dxf>
    <dxf>
      <font>
        <b/>
        <i val="0"/>
      </font>
    </dxf>
    <dxf>
      <font>
        <b/>
        <i val="0"/>
      </font>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B714"/>
      <color rgb="FF006411"/>
      <color rgb="FFFFFF66"/>
      <color rgb="FFCCFFCC"/>
      <color rgb="FF000066"/>
      <color rgb="FFDD0806"/>
      <color rgb="FF003399"/>
      <color rgb="FF99FF99"/>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Secteur%20Municipal/Plans%20de%20gestion%20des%20mati&#232;res%20r&#233;siduelles/_Bo&#238;te%20&#224;%20outils/Inventaire%20calcul/Outil%20d'inventaire%20mise%20&#224;%20jour%202021/2020-05-12_Outil-inventaire-pgmr_deverouille.xlsx?5E7E377C" TargetMode="External"/><Relationship Id="rId1" Type="http://schemas.openxmlformats.org/officeDocument/2006/relationships/externalLinkPath" Target="file:///\\5E7E377C\2020-05-12_Outil-inventaire-pgmr_deverouil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générales"/>
      <sheetName val="Données - Résidentiel"/>
      <sheetName val="Résultats - Résidentiel"/>
      <sheetName val="Données - ICI"/>
      <sheetName val="Résultats - ICI"/>
      <sheetName val="Données - CRD"/>
      <sheetName val="Résultats CRD"/>
      <sheetName val="Résultats globaux"/>
      <sheetName val="Sources"/>
      <sheetName val="Paramètres"/>
      <sheetName val="Programmation"/>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E11">
            <v>2.2000000000000002</v>
          </cell>
        </row>
        <row r="12">
          <cell r="E12">
            <v>2.71</v>
          </cell>
        </row>
        <row r="13">
          <cell r="E13">
            <v>2.25</v>
          </cell>
        </row>
        <row r="14">
          <cell r="E14">
            <v>1.89</v>
          </cell>
        </row>
      </sheetData>
      <sheetData sheetId="10" refreshError="1"/>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stat.gouv.qc.ca/regions/profils/region_00/region_00.htm" TargetMode="External"/><Relationship Id="rId7" Type="http://schemas.openxmlformats.org/officeDocument/2006/relationships/printerSettings" Target="../printerSettings/printerSettings1.bin"/><Relationship Id="rId2" Type="http://schemas.openxmlformats.org/officeDocument/2006/relationships/hyperlink" Target="https://statistique.quebec.ca/fr/document/population-et-structure-par-age-et-sexe-regions-administratives/tableau/estimations-population-regions-administratives" TargetMode="External"/><Relationship Id="rId1" Type="http://schemas.openxmlformats.org/officeDocument/2006/relationships/hyperlink" Target="http://www.stat.gouv.qc.ca/regions/profils/region_00/region_00.htm" TargetMode="External"/><Relationship Id="rId6" Type="http://schemas.openxmlformats.org/officeDocument/2006/relationships/hyperlink" Target="https://www.recyc-quebec.gouv.qc.ca/municipalites/mieux-gerer/plan-gestion-matieres-residuelles/boite-outils-pgmr" TargetMode="External"/><Relationship Id="rId5" Type="http://schemas.openxmlformats.org/officeDocument/2006/relationships/hyperlink" Target="mailto:pgmr@recyc-quebec.gouv.qc.ca" TargetMode="External"/><Relationship Id="rId4" Type="http://schemas.openxmlformats.org/officeDocument/2006/relationships/hyperlink" Target="https://statistique.quebec.ca/fr/document/population-et-structure-par-age-et-sexe-municipalites-regionales-de-comte-mrc/tableau/estimations-de-la-population-des-mrc" TargetMode="Externa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12.statcan.gc.ca/census-recensement/2016/dp-pd/dt-td/Rp-fra.cfm?TABID=2&amp;LANG=F&amp;A=R&amp;APATH=3&amp;DETAIL=0&amp;DIM=0&amp;FL=A&amp;FREE=0&amp;GC=01&amp;GL=-1&amp;GID=1354588&amp;GK=1&amp;GRP=0&amp;O=D&amp;PID=111853&amp;PRID=10&amp;PTYPE=109445&amp;S=0&amp;SHOWALL=Yes&amp;SUB=0&amp;Temporal=2017&amp;THEME=124&amp;VID=0&amp;VNAMEE=&amp;VNAMEF=&amp;D1=0&amp;D2=0&amp;D3=0&amp;D4=0&amp;D5=0&amp;D6=0" TargetMode="External"/><Relationship Id="rId3" Type="http://schemas.openxmlformats.org/officeDocument/2006/relationships/hyperlink" Target="http://www.stat.gouv.qc.ca/regions/profils/region_00/region_00.htm" TargetMode="External"/><Relationship Id="rId7" Type="http://schemas.openxmlformats.org/officeDocument/2006/relationships/hyperlink" Target="http://www.mddefp.gouv.qc.ca/matieres/valorisation/Portrait-gisement-residus-organiques-industrie-agroalimentaire.pdf" TargetMode="External"/><Relationship Id="rId12" Type="http://schemas.openxmlformats.org/officeDocument/2006/relationships/comments" Target="../comments3.xml"/><Relationship Id="rId2" Type="http://schemas.openxmlformats.org/officeDocument/2006/relationships/hyperlink" Target="https://www150.statcan.gc.ca/t1/tbl1/fr/tv.action?pid=1410039201" TargetMode="External"/><Relationship Id="rId1" Type="http://schemas.openxmlformats.org/officeDocument/2006/relationships/hyperlink" Target="http://www.stat.gouv.qc.ca/regions/profils/region_00/region_00.htm" TargetMode="External"/><Relationship Id="rId6" Type="http://schemas.openxmlformats.org/officeDocument/2006/relationships/hyperlink" Target="http://www.mddep.gouv.qc.ca/milieu_ind/bilans/pates.htm" TargetMode="External"/><Relationship Id="rId11" Type="http://schemas.openxmlformats.org/officeDocument/2006/relationships/vmlDrawing" Target="../drawings/vmlDrawing3.vml"/><Relationship Id="rId5" Type="http://schemas.openxmlformats.org/officeDocument/2006/relationships/hyperlink" Target="http://www.stat.gouv.qc.ca/regions/profils/region_00/region_00.htm" TargetMode="External"/><Relationship Id="rId10" Type="http://schemas.openxmlformats.org/officeDocument/2006/relationships/printerSettings" Target="../printerSettings/printerSettings3.bin"/><Relationship Id="rId4" Type="http://schemas.openxmlformats.org/officeDocument/2006/relationships/hyperlink" Target="http://www.mddep.gouv.qc.ca/milieu_ind/bilans/pates.htm" TargetMode="External"/><Relationship Id="rId9" Type="http://schemas.openxmlformats.org/officeDocument/2006/relationships/hyperlink" Target="https://www12.statcan.gc.ca/census-recensement/2016/dp-pd/dt-td/Rp-fra.cfm?TABID=2&amp;LANG=F&amp;A=R&amp;APATH=3&amp;DETAIL=0&amp;DIM=0&amp;FL=A&amp;FREE=0&amp;GC=01&amp;GL=-1&amp;GID=1354588&amp;GK=1&amp;GRP=0&amp;O=D&amp;PID=111853&amp;PRID=10&amp;PTYPE=109445&amp;S=0&amp;SHOWALL=Yes&amp;SUB=0&amp;Temporal=2017&amp;THEME=124&amp;VID=0&amp;VNAMEE=&amp;VNAMEF=&amp;D1=0&amp;D2=0&amp;D3=0&amp;D4=0&amp;D5=0&amp;D6=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bdso.gouv.qc.ca/pls/ken/Ken213_Afich_Tabl.page_tabl?p_id_raprt=1199"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indexed="22"/>
    <outlinePr summaryBelow="0"/>
    <pageSetUpPr autoPageBreaks="0" fitToPage="1"/>
  </sheetPr>
  <dimension ref="A1:JZ32"/>
  <sheetViews>
    <sheetView showGridLines="0" showRowColHeaders="0" tabSelected="1" topLeftCell="E1" zoomScaleNormal="100" workbookViewId="0">
      <selection activeCell="E1" sqref="E1"/>
    </sheetView>
  </sheetViews>
  <sheetFormatPr baseColWidth="10" defaultColWidth="10.85546875" defaultRowHeight="15" x14ac:dyDescent="0.25"/>
  <cols>
    <col min="1" max="1" width="15.140625" style="5" hidden="1" customWidth="1"/>
    <col min="2" max="2" width="14.85546875" style="5" hidden="1" customWidth="1"/>
    <col min="3" max="3" width="12.28515625" style="5" hidden="1" customWidth="1"/>
    <col min="4" max="4" width="13.140625" style="5" hidden="1" customWidth="1"/>
    <col min="5" max="5" width="3" style="36" customWidth="1"/>
    <col min="6" max="6" width="1" style="5" customWidth="1"/>
    <col min="7" max="38" width="3.28515625" style="5" customWidth="1"/>
    <col min="39" max="39" width="4" style="5" customWidth="1"/>
    <col min="40" max="52" width="3.28515625" style="5" customWidth="1"/>
    <col min="53" max="53" width="1" style="5" customWidth="1"/>
    <col min="54" max="102" width="3.28515625" style="5" hidden="1" customWidth="1"/>
    <col min="103" max="103" width="8.42578125" style="5" hidden="1" customWidth="1"/>
    <col min="104" max="109" width="3.28515625" style="5" hidden="1" customWidth="1"/>
    <col min="110" max="286" width="10.85546875" style="5" hidden="1" customWidth="1"/>
    <col min="287" max="16384" width="10.85546875" style="5"/>
  </cols>
  <sheetData>
    <row r="1" spans="1:53" x14ac:dyDescent="0.25">
      <c r="B1" s="6" t="s">
        <v>306</v>
      </c>
      <c r="C1" s="6" t="s">
        <v>307</v>
      </c>
    </row>
    <row r="2" spans="1:53" ht="24" thickBot="1" x14ac:dyDescent="0.4">
      <c r="A2" s="6" t="s">
        <v>129</v>
      </c>
      <c r="B2" s="7">
        <v>1</v>
      </c>
      <c r="C2" s="7"/>
      <c r="F2" s="8"/>
      <c r="G2" s="9"/>
      <c r="H2" s="8" t="str">
        <f>B2&amp;"."</f>
        <v>1.</v>
      </c>
      <c r="I2" s="8" t="s">
        <v>44</v>
      </c>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269" t="str">
        <f>"Version "&amp;Paramètres!G3</f>
        <v>Version 2022</v>
      </c>
      <c r="BA2" s="8"/>
    </row>
    <row r="3" spans="1:53" ht="15" customHeight="1" thickBot="1" x14ac:dyDescent="0.3">
      <c r="A3" s="10" t="e">
        <f>VLOOKUP(gen_RA,Programmation!A13:B29,2,FALSE)</f>
        <v>#N/A</v>
      </c>
      <c r="F3" s="8"/>
      <c r="H3" s="11"/>
      <c r="BA3" s="8"/>
    </row>
    <row r="4" spans="1:53" ht="15" customHeight="1" x14ac:dyDescent="0.25">
      <c r="A4" s="5" t="s">
        <v>80</v>
      </c>
      <c r="C4" s="5">
        <v>1</v>
      </c>
      <c r="F4" s="8"/>
      <c r="H4" s="83" t="str">
        <f>CONCATENATE($B$2,".",C4)</f>
        <v>1.1</v>
      </c>
      <c r="I4" s="672" t="s">
        <v>45</v>
      </c>
      <c r="J4" s="672"/>
      <c r="K4" s="672"/>
      <c r="L4" s="672"/>
      <c r="M4" s="672"/>
      <c r="N4" s="672"/>
      <c r="O4" s="672"/>
      <c r="Q4" s="676"/>
      <c r="R4" s="676"/>
      <c r="S4" s="676"/>
      <c r="BA4" s="8"/>
    </row>
    <row r="5" spans="1:53" ht="15" customHeight="1" x14ac:dyDescent="0.25">
      <c r="F5" s="8"/>
      <c r="H5" s="14"/>
      <c r="M5" s="13"/>
      <c r="N5" s="13"/>
      <c r="O5" s="13"/>
      <c r="P5" s="13"/>
      <c r="Q5" s="13"/>
      <c r="AH5" s="584"/>
      <c r="AI5" s="584"/>
      <c r="AJ5" s="584"/>
      <c r="AK5" s="584"/>
      <c r="AL5" s="584"/>
      <c r="AM5" s="584"/>
      <c r="BA5" s="8"/>
    </row>
    <row r="6" spans="1:53" ht="15" customHeight="1" x14ac:dyDescent="0.25">
      <c r="A6" s="5" t="s">
        <v>436</v>
      </c>
      <c r="C6" s="5">
        <f>C4+1</f>
        <v>2</v>
      </c>
      <c r="D6" s="5">
        <f>C8+1</f>
        <v>4</v>
      </c>
      <c r="F6" s="8"/>
      <c r="H6" s="83" t="str">
        <f>CONCATENATE($B$2,".",C6)</f>
        <v>1.2</v>
      </c>
      <c r="I6" s="672" t="s">
        <v>46</v>
      </c>
      <c r="J6" s="672"/>
      <c r="K6" s="672"/>
      <c r="L6" s="672"/>
      <c r="M6" s="672"/>
      <c r="N6" s="672"/>
      <c r="O6" s="672"/>
      <c r="P6" s="672"/>
      <c r="Q6" s="666"/>
      <c r="R6" s="666"/>
      <c r="S6" s="666"/>
      <c r="T6" s="666"/>
      <c r="U6" s="666"/>
      <c r="V6" s="666"/>
      <c r="W6" s="666"/>
      <c r="X6" s="666"/>
      <c r="Y6" s="666"/>
      <c r="Z6" s="666"/>
      <c r="AF6" s="83" t="str">
        <f>CONCATENATE($B$2,".",D6)</f>
        <v>1.4</v>
      </c>
      <c r="AG6" s="680" t="s">
        <v>778</v>
      </c>
      <c r="AH6" s="680"/>
      <c r="AI6" s="680"/>
      <c r="AJ6" s="680"/>
      <c r="AK6" s="680"/>
      <c r="AL6" s="680"/>
      <c r="AM6" s="680"/>
      <c r="AN6" s="680"/>
      <c r="AO6" s="666"/>
      <c r="AP6" s="666"/>
      <c r="AQ6" s="666"/>
      <c r="AR6" s="666"/>
      <c r="AS6" s="666"/>
      <c r="AT6" s="666"/>
      <c r="AU6" s="666"/>
      <c r="BA6" s="8"/>
    </row>
    <row r="7" spans="1:53" ht="5.25" customHeight="1" thickBot="1" x14ac:dyDescent="0.3">
      <c r="F7" s="8"/>
      <c r="H7" s="14"/>
      <c r="I7" s="14"/>
      <c r="J7" s="14"/>
      <c r="K7" s="14"/>
      <c r="L7" s="14"/>
      <c r="M7" s="14"/>
      <c r="N7" s="14"/>
      <c r="O7" s="14"/>
      <c r="P7" s="14"/>
      <c r="Q7" s="14"/>
      <c r="R7" s="14"/>
      <c r="S7" s="14"/>
      <c r="T7" s="14"/>
      <c r="AG7" s="14"/>
      <c r="AH7" s="14"/>
      <c r="AI7" s="14"/>
      <c r="AJ7" s="14"/>
      <c r="AK7" s="14"/>
      <c r="AL7" s="14"/>
      <c r="AM7" s="14"/>
      <c r="AN7" s="14"/>
      <c r="AO7" s="14"/>
      <c r="AP7" s="14"/>
      <c r="AQ7" s="14"/>
      <c r="AR7" s="14"/>
      <c r="AS7" s="14"/>
      <c r="BA7" s="8"/>
    </row>
    <row r="8" spans="1:53" ht="15" customHeight="1" thickTop="1" thickBot="1" x14ac:dyDescent="0.3">
      <c r="A8" s="5" t="s">
        <v>437</v>
      </c>
      <c r="C8" s="5">
        <f>C6+1</f>
        <v>3</v>
      </c>
      <c r="D8" s="5">
        <f>D6+1</f>
        <v>5</v>
      </c>
      <c r="F8" s="8"/>
      <c r="I8" s="16" t="str">
        <f>puce1</f>
        <v>Ä</v>
      </c>
      <c r="J8" s="83" t="str">
        <f>CONCATENATE($B$2,".",C8)</f>
        <v>1.3</v>
      </c>
      <c r="K8" s="672" t="s">
        <v>622</v>
      </c>
      <c r="L8" s="672"/>
      <c r="M8" s="672"/>
      <c r="N8" s="672"/>
      <c r="O8" s="672"/>
      <c r="P8" s="672"/>
      <c r="Q8" s="677"/>
      <c r="R8" s="678"/>
      <c r="S8" s="678"/>
      <c r="T8" s="678"/>
      <c r="U8" s="678"/>
      <c r="W8" s="679" t="s">
        <v>79</v>
      </c>
      <c r="X8" s="679"/>
      <c r="AG8" s="16" t="str">
        <f>puce1</f>
        <v>Ä</v>
      </c>
      <c r="AH8" s="84" t="str">
        <f>CONCATENATE($B$2,".",D8)</f>
        <v>1.5</v>
      </c>
      <c r="AI8" s="672" t="s">
        <v>623</v>
      </c>
      <c r="AJ8" s="672"/>
      <c r="AK8" s="672"/>
      <c r="AL8" s="672"/>
      <c r="AM8" s="672"/>
      <c r="AN8" s="672"/>
      <c r="AO8" s="678"/>
      <c r="AP8" s="678"/>
      <c r="AQ8" s="678"/>
      <c r="AR8" s="678"/>
      <c r="AS8" s="678"/>
      <c r="AU8" s="679" t="s">
        <v>79</v>
      </c>
      <c r="AV8" s="679"/>
      <c r="BA8" s="8"/>
    </row>
    <row r="9" spans="1:53" ht="15" customHeight="1" thickTop="1" x14ac:dyDescent="0.25">
      <c r="F9" s="8"/>
      <c r="H9" s="14"/>
      <c r="BA9" s="8"/>
    </row>
    <row r="10" spans="1:53" ht="15.75" customHeight="1" x14ac:dyDescent="0.25">
      <c r="A10" s="5" t="s">
        <v>81</v>
      </c>
      <c r="C10" s="5">
        <f>D8+1</f>
        <v>6</v>
      </c>
      <c r="D10" s="5" t="str">
        <f>C10&amp;"b"</f>
        <v>6b</v>
      </c>
      <c r="F10" s="8"/>
      <c r="H10" s="83" t="str">
        <f>CONCATENATE($B$2,".",C10)</f>
        <v>1.6</v>
      </c>
      <c r="I10" s="672" t="s">
        <v>47</v>
      </c>
      <c r="J10" s="672"/>
      <c r="K10" s="672"/>
      <c r="L10" s="672"/>
      <c r="M10" s="672"/>
      <c r="N10" s="672"/>
      <c r="O10" s="672"/>
      <c r="Q10" s="665"/>
      <c r="R10" s="666"/>
      <c r="S10" s="666"/>
      <c r="T10" s="666"/>
      <c r="U10" s="666"/>
      <c r="V10" s="666"/>
      <c r="W10" s="666"/>
      <c r="X10" s="666"/>
      <c r="Y10" s="666"/>
      <c r="Z10" s="666"/>
      <c r="BA10" s="8"/>
    </row>
    <row r="11" spans="1:53" ht="16.5" customHeight="1" x14ac:dyDescent="0.25">
      <c r="F11" s="8"/>
      <c r="H11" s="14"/>
      <c r="BA11" s="8"/>
    </row>
    <row r="12" spans="1:53" ht="16.5" customHeight="1" x14ac:dyDescent="0.25">
      <c r="F12" s="8"/>
      <c r="BA12" s="8"/>
    </row>
    <row r="13" spans="1:53" ht="16.5" customHeight="1" x14ac:dyDescent="0.25">
      <c r="F13" s="8"/>
      <c r="BA13" s="8"/>
    </row>
    <row r="14" spans="1:53" ht="5.25" customHeight="1" x14ac:dyDescent="0.25">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row>
    <row r="15" spans="1:53" ht="21.75" thickBot="1" x14ac:dyDescent="0.3">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row>
    <row r="16" spans="1:53" ht="15.75" customHeight="1" x14ac:dyDescent="0.25">
      <c r="B16" s="5">
        <v>125545</v>
      </c>
      <c r="H16" s="96" t="s">
        <v>356</v>
      </c>
      <c r="Y16" s="659" t="s">
        <v>629</v>
      </c>
      <c r="Z16" s="660"/>
      <c r="AA16" s="660"/>
      <c r="AB16" s="660"/>
      <c r="AC16" s="660"/>
      <c r="AD16" s="660"/>
      <c r="AE16" s="660"/>
      <c r="AF16" s="660"/>
      <c r="AG16" s="660"/>
      <c r="AH16" s="660"/>
      <c r="AI16" s="660"/>
      <c r="AJ16" s="660"/>
      <c r="AK16" s="660"/>
      <c r="AL16" s="660"/>
      <c r="AM16" s="660"/>
      <c r="AN16" s="660"/>
      <c r="AO16" s="660"/>
      <c r="AP16" s="660"/>
      <c r="AQ16" s="660"/>
      <c r="AR16" s="660"/>
      <c r="AS16" s="660"/>
      <c r="AT16" s="660"/>
      <c r="AU16" s="660"/>
      <c r="AV16" s="660"/>
      <c r="AW16" s="660"/>
      <c r="AX16" s="660"/>
      <c r="AY16" s="660"/>
      <c r="AZ16" s="661"/>
    </row>
    <row r="17" spans="8:53" ht="15.75" thickBot="1" x14ac:dyDescent="0.3">
      <c r="H17" s="675" t="s">
        <v>668</v>
      </c>
      <c r="I17" s="675"/>
      <c r="J17" s="675"/>
      <c r="K17" s="675"/>
      <c r="L17" s="675"/>
      <c r="M17" s="95" t="s">
        <v>353</v>
      </c>
      <c r="Y17" s="662"/>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4"/>
      <c r="BA17" s="280"/>
    </row>
    <row r="18" spans="8:53" ht="15" customHeight="1" x14ac:dyDescent="0.25">
      <c r="H18" s="674" t="s">
        <v>351</v>
      </c>
      <c r="I18" s="674"/>
      <c r="J18" s="674"/>
      <c r="K18" s="674"/>
      <c r="L18" s="674"/>
      <c r="M18" s="95" t="s">
        <v>354</v>
      </c>
      <c r="Y18" s="282"/>
      <c r="Z18" s="283"/>
      <c r="AA18" s="283"/>
      <c r="AB18" s="283"/>
      <c r="AC18" s="283"/>
      <c r="AD18" s="283"/>
      <c r="AE18" s="283"/>
      <c r="AF18" s="283"/>
      <c r="AG18" s="283"/>
      <c r="AH18" s="283"/>
      <c r="AI18" s="284"/>
      <c r="AJ18" s="284"/>
      <c r="AK18" s="284"/>
      <c r="AL18" s="283"/>
      <c r="AM18" s="283"/>
      <c r="AN18" s="283"/>
      <c r="AO18" s="283"/>
      <c r="AP18" s="283"/>
      <c r="AQ18" s="283"/>
      <c r="AR18" s="283"/>
      <c r="AS18" s="283"/>
      <c r="AT18" s="283"/>
      <c r="AU18" s="283"/>
      <c r="AV18" s="283"/>
      <c r="AW18" s="283"/>
      <c r="AX18" s="283"/>
      <c r="AY18" s="283"/>
      <c r="AZ18" s="285"/>
    </row>
    <row r="19" spans="8:53" ht="15" customHeight="1" x14ac:dyDescent="0.25">
      <c r="H19" s="673" t="s">
        <v>352</v>
      </c>
      <c r="I19" s="673"/>
      <c r="J19" s="673"/>
      <c r="K19" s="673"/>
      <c r="L19" s="673"/>
      <c r="M19" s="95" t="s">
        <v>355</v>
      </c>
      <c r="Y19" s="286"/>
      <c r="Z19" s="669" t="s">
        <v>756</v>
      </c>
      <c r="AA19" s="669"/>
      <c r="AB19" s="669"/>
      <c r="AC19" s="669"/>
      <c r="AD19" s="669"/>
      <c r="AE19" s="669"/>
      <c r="AF19" s="669"/>
      <c r="AG19" s="669"/>
      <c r="AH19" s="669"/>
      <c r="AI19" s="669"/>
      <c r="AJ19" s="669"/>
      <c r="AK19" s="669"/>
      <c r="AL19" s="290"/>
      <c r="AN19" s="658" t="s">
        <v>805</v>
      </c>
      <c r="AO19" s="658"/>
      <c r="AP19" s="658"/>
      <c r="AQ19" s="658"/>
      <c r="AR19" s="658"/>
      <c r="AS19" s="658"/>
      <c r="AT19" s="658"/>
      <c r="AU19" s="658"/>
      <c r="AV19" s="658"/>
      <c r="AW19" s="658"/>
      <c r="AX19" s="658"/>
      <c r="AY19" s="658"/>
      <c r="AZ19" s="287"/>
    </row>
    <row r="20" spans="8:53" x14ac:dyDescent="0.25">
      <c r="H20" s="668" t="s">
        <v>597</v>
      </c>
      <c r="I20" s="668"/>
      <c r="J20" s="668"/>
      <c r="K20" s="668"/>
      <c r="L20" s="668"/>
      <c r="M20" s="95" t="s">
        <v>598</v>
      </c>
      <c r="Y20" s="286"/>
      <c r="Z20" s="669"/>
      <c r="AA20" s="669"/>
      <c r="AB20" s="669"/>
      <c r="AC20" s="669"/>
      <c r="AD20" s="669"/>
      <c r="AE20" s="669"/>
      <c r="AF20" s="669"/>
      <c r="AG20" s="669"/>
      <c r="AH20" s="669"/>
      <c r="AI20" s="669"/>
      <c r="AJ20" s="669"/>
      <c r="AK20" s="669"/>
      <c r="AL20" s="290"/>
      <c r="AN20" s="658"/>
      <c r="AO20" s="658"/>
      <c r="AP20" s="658"/>
      <c r="AQ20" s="658"/>
      <c r="AR20" s="658"/>
      <c r="AS20" s="658"/>
      <c r="AT20" s="658"/>
      <c r="AU20" s="658"/>
      <c r="AV20" s="658"/>
      <c r="AW20" s="658"/>
      <c r="AX20" s="658"/>
      <c r="AY20" s="658"/>
      <c r="AZ20" s="287"/>
    </row>
    <row r="21" spans="8:53" ht="15.75" thickBot="1" x14ac:dyDescent="0.3">
      <c r="Y21" s="286"/>
      <c r="Z21" s="658" t="s">
        <v>757</v>
      </c>
      <c r="AA21" s="669"/>
      <c r="AB21" s="669"/>
      <c r="AC21" s="669"/>
      <c r="AD21" s="669"/>
      <c r="AE21" s="669"/>
      <c r="AF21" s="669"/>
      <c r="AG21" s="669"/>
      <c r="AH21" s="669"/>
      <c r="AI21" s="669"/>
      <c r="AJ21" s="669"/>
      <c r="AK21" s="669"/>
      <c r="AL21" s="290"/>
      <c r="AN21" s="658"/>
      <c r="AO21" s="658"/>
      <c r="AP21" s="658"/>
      <c r="AQ21" s="658"/>
      <c r="AR21" s="658"/>
      <c r="AS21" s="658"/>
      <c r="AT21" s="658"/>
      <c r="AU21" s="658"/>
      <c r="AV21" s="658"/>
      <c r="AW21" s="658"/>
      <c r="AX21" s="658"/>
      <c r="AY21" s="658"/>
      <c r="AZ21" s="287"/>
    </row>
    <row r="22" spans="8:53" ht="16.5" thickTop="1" thickBot="1" x14ac:dyDescent="0.3">
      <c r="H22" s="667" t="s">
        <v>261</v>
      </c>
      <c r="I22" s="667"/>
      <c r="J22" s="95" t="s">
        <v>357</v>
      </c>
      <c r="Y22" s="286"/>
      <c r="Z22" s="279"/>
      <c r="AA22" s="279"/>
      <c r="AB22" s="279"/>
      <c r="AC22" s="279"/>
      <c r="AD22" s="279"/>
      <c r="AE22" s="279"/>
      <c r="AF22" s="279"/>
      <c r="AG22" s="279"/>
      <c r="AH22" s="279"/>
      <c r="AI22" s="279"/>
      <c r="AJ22" s="279"/>
      <c r="AK22" s="279"/>
      <c r="AL22" s="281"/>
      <c r="AZ22" s="287"/>
    </row>
    <row r="23" spans="8:53" ht="15.75" thickTop="1" x14ac:dyDescent="0.25">
      <c r="Y23" s="286"/>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87"/>
    </row>
    <row r="24" spans="8:53" ht="15.75" customHeight="1" x14ac:dyDescent="0.25">
      <c r="Y24" s="286"/>
      <c r="Z24" s="670" t="s">
        <v>777</v>
      </c>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287"/>
    </row>
    <row r="25" spans="8:53" ht="21" customHeight="1" x14ac:dyDescent="0.25">
      <c r="H25" s="657" t="s">
        <v>640</v>
      </c>
      <c r="I25" s="657"/>
      <c r="J25" s="657"/>
      <c r="K25" s="657"/>
      <c r="L25" s="657"/>
      <c r="M25" s="657"/>
      <c r="N25" s="657"/>
      <c r="O25" s="657"/>
      <c r="P25" s="657"/>
      <c r="Q25" s="657"/>
      <c r="R25" s="657"/>
      <c r="S25" s="657"/>
      <c r="T25" s="657"/>
      <c r="U25" s="657"/>
      <c r="V25" s="657"/>
      <c r="W25" s="657"/>
      <c r="Y25" s="286"/>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287"/>
    </row>
    <row r="26" spans="8:53" x14ac:dyDescent="0.25">
      <c r="J26" s="575" t="s">
        <v>806</v>
      </c>
      <c r="Y26" s="286"/>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70"/>
      <c r="AW26" s="670"/>
      <c r="AX26" s="670"/>
      <c r="AY26" s="670"/>
      <c r="AZ26" s="287"/>
    </row>
    <row r="27" spans="8:53" x14ac:dyDescent="0.25">
      <c r="Y27" s="286"/>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287"/>
    </row>
    <row r="28" spans="8:53" x14ac:dyDescent="0.25">
      <c r="Y28" s="286"/>
      <c r="Z28" s="670"/>
      <c r="AA28" s="670"/>
      <c r="AB28" s="670"/>
      <c r="AC28" s="670"/>
      <c r="AD28" s="670"/>
      <c r="AE28" s="670"/>
      <c r="AF28" s="670"/>
      <c r="AG28" s="670"/>
      <c r="AH28" s="670"/>
      <c r="AI28" s="670"/>
      <c r="AJ28" s="670"/>
      <c r="AK28" s="670"/>
      <c r="AL28" s="670"/>
      <c r="AM28" s="670"/>
      <c r="AN28" s="670"/>
      <c r="AO28" s="670"/>
      <c r="AP28" s="670"/>
      <c r="AQ28" s="670"/>
      <c r="AR28" s="670"/>
      <c r="AS28" s="670"/>
      <c r="AT28" s="670"/>
      <c r="AU28" s="670"/>
      <c r="AV28" s="670"/>
      <c r="AW28" s="670"/>
      <c r="AX28" s="670"/>
      <c r="AY28" s="670"/>
      <c r="AZ28" s="287"/>
    </row>
    <row r="29" spans="8:53" x14ac:dyDescent="0.25">
      <c r="Y29" s="286"/>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287"/>
    </row>
    <row r="30" spans="8:53" x14ac:dyDescent="0.25">
      <c r="Y30" s="286"/>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0"/>
      <c r="AY30" s="670"/>
      <c r="AZ30" s="287"/>
    </row>
    <row r="31" spans="8:53" x14ac:dyDescent="0.25">
      <c r="Y31" s="286"/>
      <c r="Z31" s="670"/>
      <c r="AA31" s="670"/>
      <c r="AB31" s="670"/>
      <c r="AC31" s="670"/>
      <c r="AD31" s="670"/>
      <c r="AE31" s="670"/>
      <c r="AF31" s="670"/>
      <c r="AG31" s="670"/>
      <c r="AH31" s="670"/>
      <c r="AI31" s="670"/>
      <c r="AJ31" s="670"/>
      <c r="AK31" s="670"/>
      <c r="AL31" s="670"/>
      <c r="AM31" s="670"/>
      <c r="AN31" s="670"/>
      <c r="AO31" s="670"/>
      <c r="AP31" s="670"/>
      <c r="AQ31" s="670"/>
      <c r="AR31" s="670"/>
      <c r="AS31" s="670"/>
      <c r="AT31" s="670"/>
      <c r="AU31" s="670"/>
      <c r="AV31" s="670"/>
      <c r="AW31" s="670"/>
      <c r="AX31" s="670"/>
      <c r="AY31" s="670"/>
      <c r="AZ31" s="287"/>
    </row>
    <row r="32" spans="8:53" ht="15.75" thickBot="1" x14ac:dyDescent="0.3">
      <c r="Y32" s="288"/>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1"/>
      <c r="AY32" s="671"/>
      <c r="AZ32" s="289"/>
    </row>
  </sheetData>
  <sheetProtection algorithmName="SHA-512" hashValue="xNLlRWyT4W2i8CQgNoW7vEentmbuea5aX+lKNrbCDoaCAduue0v4QgY5TFRudC3AHT9nRoyGEwpBZybhY+oKqQ==" saltValue="XYQUFgBjEqP4fvM/o8FVPA==" spinCount="100000" sheet="1" objects="1" scenarios="1"/>
  <mergeCells count="25">
    <mergeCell ref="AO6:AU6"/>
    <mergeCell ref="Q4:S4"/>
    <mergeCell ref="Q6:Z6"/>
    <mergeCell ref="Q8:U8"/>
    <mergeCell ref="AO8:AS8"/>
    <mergeCell ref="W8:X8"/>
    <mergeCell ref="AU8:AV8"/>
    <mergeCell ref="AI8:AN8"/>
    <mergeCell ref="AG6:AN6"/>
    <mergeCell ref="I4:O4"/>
    <mergeCell ref="I6:P6"/>
    <mergeCell ref="H19:L19"/>
    <mergeCell ref="H18:L18"/>
    <mergeCell ref="H17:L17"/>
    <mergeCell ref="I10:O10"/>
    <mergeCell ref="K8:P8"/>
    <mergeCell ref="H25:W25"/>
    <mergeCell ref="AN19:AY21"/>
    <mergeCell ref="Y16:AZ17"/>
    <mergeCell ref="Q10:Z10"/>
    <mergeCell ref="H22:I22"/>
    <mergeCell ref="H20:L20"/>
    <mergeCell ref="Z19:AK20"/>
    <mergeCell ref="Z21:AK21"/>
    <mergeCell ref="Z24:AY32"/>
  </mergeCells>
  <phoneticPr fontId="26" type="noConversion"/>
  <conditionalFormatting sqref="AO8 AO6 Q10 Q8 Q6 Q4">
    <cfRule type="notContainsBlanks" dxfId="213" priority="11">
      <formula>LEN(TRIM(Q4))&gt;0</formula>
    </cfRule>
  </conditionalFormatting>
  <dataValidations xWindow="289" yWindow="369" count="3">
    <dataValidation allowBlank="1" showErrorMessage="1" sqref="Q10:Z10" xr:uid="{00000000-0002-0000-0000-000000000000}"/>
    <dataValidation type="list" allowBlank="1" showErrorMessage="1" sqref="Q6:Z6" xr:uid="{00000000-0002-0000-0000-000002000000}">
      <formula1>Region_administrative</formula1>
    </dataValidation>
    <dataValidation type="decimal" operator="greaterThan" allowBlank="1" showInputMessage="1" showErrorMessage="1" errorTitle="Donnée non valide" error="Votre saisie doit répondre aux conditions suivantes : _x000a_- Être un chiffre_x000a_- Être supérieur ou égal à zéro_x000a_- Ne pas contenir d'unité" sqref="AO8:AS8 Q8:U8 Q4:S4" xr:uid="{00000000-0002-0000-0000-000003000000}">
      <formula1>-1</formula1>
    </dataValidation>
  </dataValidations>
  <hyperlinks>
    <hyperlink ref="W8" r:id="rId1" xr:uid="{00000000-0004-0000-0000-000000000000}"/>
    <hyperlink ref="W8:X8" r:id="rId2" display="lien" xr:uid="{00000000-0004-0000-0000-000001000000}"/>
    <hyperlink ref="AU8" r:id="rId3" xr:uid="{00000000-0004-0000-0000-000002000000}"/>
    <hyperlink ref="AU8:AV8" r:id="rId4" display="lien" xr:uid="{00000000-0004-0000-0000-000003000000}"/>
    <hyperlink ref="Z21" r:id="rId5" xr:uid="{1125E600-822C-49C6-8BEB-285D1ECED386}"/>
    <hyperlink ref="AN19:AY21" r:id="rId6" display="Pour plus d'informations, consultez les pages Web de RECYC-QUÉBEC sur les PGMR." xr:uid="{9098CB46-0EB3-4CB2-8E15-D1C87EB5D0F7}"/>
  </hyperlinks>
  <pageMargins left="0.36" right="0.47" top="0.4" bottom="0.36" header="0.31496062992125984" footer="0.31496062992125984"/>
  <pageSetup scale="84" fitToHeight="0" orientation="landscape" r:id="rId7"/>
  <colBreaks count="1" manualBreakCount="1">
    <brk id="6" max="1048575" man="1"/>
  </colBreaks>
  <legacyDrawing r:id="rId8"/>
  <extLst>
    <ext xmlns:x14="http://schemas.microsoft.com/office/spreadsheetml/2009/9/main" uri="{CCE6A557-97BC-4b89-ADB6-D9C93CAAB3DF}">
      <x14:dataValidations xmlns:xm="http://schemas.microsoft.com/office/excel/2006/main" xWindow="289" yWindow="369" count="1">
        <x14:dataValidation type="list" allowBlank="1" showInputMessage="1" showErrorMessage="1" xr:uid="{3FBE9133-257F-4E83-BE6E-55798B26770D}">
          <x14:formula1>
            <xm:f>Programmation!$A$33:$A$136</xm:f>
          </x14:formula1>
          <xm:sqref>AO6:AU6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indexed="20"/>
    <outlinePr summaryBelow="0"/>
  </sheetPr>
  <dimension ref="A1:X250"/>
  <sheetViews>
    <sheetView topLeftCell="C1" zoomScale="90" zoomScaleNormal="90" workbookViewId="0">
      <selection activeCell="G4" sqref="G4"/>
    </sheetView>
  </sheetViews>
  <sheetFormatPr baseColWidth="10" defaultColWidth="17" defaultRowHeight="15" x14ac:dyDescent="0.25"/>
  <cols>
    <col min="1" max="1" width="6.140625" style="393" hidden="1" customWidth="1"/>
    <col min="2" max="2" width="16.7109375" style="393" hidden="1" customWidth="1"/>
    <col min="3" max="3" width="6.42578125" style="393" customWidth="1"/>
    <col min="4" max="4" width="26.28515625" style="393" customWidth="1"/>
    <col min="5" max="5" width="49" style="393" customWidth="1"/>
    <col min="6" max="6" width="23" style="393" customWidth="1"/>
    <col min="7" max="7" width="14.42578125" style="393" customWidth="1"/>
    <col min="8" max="8" width="10.42578125" style="393" customWidth="1"/>
    <col min="9" max="14" width="8" style="393" customWidth="1"/>
    <col min="15" max="15" width="16.28515625" style="393" customWidth="1"/>
    <col min="16" max="16" width="2.85546875" style="393" customWidth="1"/>
    <col min="17" max="17" width="35.140625" style="393" customWidth="1"/>
    <col min="18" max="18" width="10.85546875" style="393" customWidth="1"/>
    <col min="19" max="19" width="10.28515625" style="393" customWidth="1"/>
    <col min="20" max="20" width="8.85546875" style="393" customWidth="1"/>
    <col min="21" max="25" width="17" style="393"/>
    <col min="26" max="26" width="27.42578125" style="393" customWidth="1"/>
    <col min="27" max="29" width="17" style="393"/>
    <col min="30" max="30" width="28.42578125" style="393" customWidth="1"/>
    <col min="31" max="16384" width="17" style="393"/>
  </cols>
  <sheetData>
    <row r="1" spans="4:15" ht="15.75" thickBot="1" x14ac:dyDescent="0.3"/>
    <row r="2" spans="4:15" ht="19.5" thickBot="1" x14ac:dyDescent="0.35">
      <c r="D2" s="1212" t="s">
        <v>633</v>
      </c>
      <c r="E2" s="1213"/>
      <c r="G2" s="1212" t="s">
        <v>627</v>
      </c>
      <c r="H2" s="1213"/>
    </row>
    <row r="3" spans="4:15" ht="15.75" thickBot="1" x14ac:dyDescent="0.3">
      <c r="D3" s="394" t="s">
        <v>43</v>
      </c>
      <c r="E3" s="395">
        <v>0.5</v>
      </c>
      <c r="G3" s="396">
        <v>2022</v>
      </c>
      <c r="H3" s="397"/>
    </row>
    <row r="4" spans="4:15" ht="15.75" thickBot="1" x14ac:dyDescent="0.3">
      <c r="D4" s="394" t="s">
        <v>125</v>
      </c>
      <c r="E4" s="395">
        <v>0.5</v>
      </c>
    </row>
    <row r="5" spans="4:15" ht="19.5" thickBot="1" x14ac:dyDescent="0.35">
      <c r="D5" s="398" t="s">
        <v>345</v>
      </c>
      <c r="E5" s="399">
        <v>0.25</v>
      </c>
      <c r="G5" s="1212" t="s">
        <v>582</v>
      </c>
      <c r="H5" s="1213"/>
    </row>
    <row r="6" spans="4:15" ht="15.75" thickBot="1" x14ac:dyDescent="0.3">
      <c r="G6" s="400">
        <v>0.2</v>
      </c>
      <c r="H6" s="397"/>
    </row>
    <row r="8" spans="4:15" ht="23.25" x14ac:dyDescent="0.25">
      <c r="D8" s="401" t="s">
        <v>345</v>
      </c>
      <c r="E8" s="402"/>
      <c r="F8" s="402"/>
      <c r="G8" s="402"/>
      <c r="H8" s="402"/>
      <c r="I8" s="402"/>
      <c r="J8" s="402"/>
      <c r="K8" s="402"/>
      <c r="L8" s="402"/>
      <c r="M8" s="402"/>
      <c r="N8" s="402"/>
      <c r="O8" s="402"/>
    </row>
    <row r="9" spans="4:15" ht="15.75" thickBot="1" x14ac:dyDescent="0.3"/>
    <row r="10" spans="4:15" ht="16.5" thickBot="1" x14ac:dyDescent="0.3">
      <c r="D10" s="1231" t="s">
        <v>736</v>
      </c>
      <c r="E10" s="1232"/>
      <c r="F10" s="1233"/>
      <c r="H10" s="1217" t="s">
        <v>27</v>
      </c>
      <c r="I10" s="1218"/>
    </row>
    <row r="11" spans="4:15" ht="15.75" thickBot="1" x14ac:dyDescent="0.3">
      <c r="D11" s="530" t="s">
        <v>742</v>
      </c>
      <c r="E11" s="532">
        <v>2.2000000000000002</v>
      </c>
      <c r="F11" s="403" t="s">
        <v>727</v>
      </c>
      <c r="H11" s="1236">
        <v>8.2000000000000007E-3</v>
      </c>
      <c r="I11" s="1237"/>
    </row>
    <row r="12" spans="4:15" x14ac:dyDescent="0.25">
      <c r="D12" s="531" t="s">
        <v>743</v>
      </c>
      <c r="E12" s="533">
        <v>2.71</v>
      </c>
      <c r="F12" s="528" t="s">
        <v>727</v>
      </c>
      <c r="H12" s="529"/>
      <c r="I12" s="529"/>
    </row>
    <row r="13" spans="4:15" x14ac:dyDescent="0.25">
      <c r="D13" s="404" t="s">
        <v>533</v>
      </c>
      <c r="E13" s="534">
        <v>2.25</v>
      </c>
      <c r="F13" s="405" t="s">
        <v>727</v>
      </c>
    </row>
    <row r="14" spans="4:15" ht="15.75" thickBot="1" x14ac:dyDescent="0.3">
      <c r="D14" s="406" t="s">
        <v>534</v>
      </c>
      <c r="E14" s="535">
        <v>1.89</v>
      </c>
      <c r="F14" s="407" t="s">
        <v>727</v>
      </c>
    </row>
    <row r="15" spans="4:15" ht="15.75" thickBot="1" x14ac:dyDescent="0.3"/>
    <row r="16" spans="4:15" ht="16.5" thickBot="1" x14ac:dyDescent="0.3">
      <c r="D16" s="1231" t="s">
        <v>0</v>
      </c>
      <c r="E16" s="1232"/>
      <c r="F16" s="1233"/>
    </row>
    <row r="17" spans="4:21" x14ac:dyDescent="0.25">
      <c r="D17" s="408" t="s">
        <v>1</v>
      </c>
      <c r="E17" s="409">
        <v>0.13800000000000001</v>
      </c>
      <c r="F17" s="403" t="s">
        <v>682</v>
      </c>
    </row>
    <row r="18" spans="4:21" ht="15.75" thickBot="1" x14ac:dyDescent="0.3">
      <c r="D18" s="406" t="s">
        <v>2</v>
      </c>
      <c r="E18" s="410">
        <v>1.7</v>
      </c>
      <c r="F18" s="407" t="s">
        <v>732</v>
      </c>
    </row>
    <row r="21" spans="4:21" ht="16.5" thickBot="1" x14ac:dyDescent="0.3">
      <c r="D21" s="1303" t="s">
        <v>420</v>
      </c>
      <c r="E21" s="1304"/>
      <c r="F21" s="1304"/>
      <c r="G21" s="1304"/>
      <c r="H21" s="1304"/>
      <c r="I21" s="1305"/>
    </row>
    <row r="22" spans="4:21" x14ac:dyDescent="0.25">
      <c r="D22" s="1290" t="s">
        <v>509</v>
      </c>
      <c r="E22" s="1301" t="s">
        <v>510</v>
      </c>
      <c r="F22" s="1302"/>
      <c r="G22" s="1302"/>
      <c r="H22" s="1257"/>
      <c r="I22" s="1241" t="s">
        <v>397</v>
      </c>
    </row>
    <row r="23" spans="4:21" ht="15.75" thickBot="1" x14ac:dyDescent="0.3">
      <c r="D23" s="1291"/>
      <c r="E23" s="411" t="s">
        <v>511</v>
      </c>
      <c r="F23" s="411" t="s">
        <v>512</v>
      </c>
      <c r="G23" s="542" t="s">
        <v>744</v>
      </c>
      <c r="H23" s="536" t="s">
        <v>745</v>
      </c>
      <c r="I23" s="1242"/>
    </row>
    <row r="24" spans="4:21" ht="15.75" thickBot="1" x14ac:dyDescent="0.3">
      <c r="D24" s="1295" t="s">
        <v>513</v>
      </c>
      <c r="E24" s="1296"/>
      <c r="F24" s="1296"/>
      <c r="G24" s="1296"/>
      <c r="H24" s="1297"/>
    </row>
    <row r="25" spans="4:21" ht="15.75" thickBot="1" x14ac:dyDescent="0.3">
      <c r="D25" s="412" t="s">
        <v>412</v>
      </c>
      <c r="E25" s="537">
        <v>33.33</v>
      </c>
      <c r="F25" s="537">
        <v>40.409999999999997</v>
      </c>
      <c r="G25" s="543">
        <v>50.85</v>
      </c>
      <c r="H25" s="540">
        <v>42.35</v>
      </c>
      <c r="I25" s="415" t="s">
        <v>728</v>
      </c>
    </row>
    <row r="26" spans="4:21" ht="15.75" thickBot="1" x14ac:dyDescent="0.3">
      <c r="D26" s="412" t="s">
        <v>414</v>
      </c>
      <c r="E26" s="537">
        <v>2.5099999999999998</v>
      </c>
      <c r="F26" s="537">
        <v>2.4500000000000002</v>
      </c>
      <c r="G26" s="544">
        <v>3.72</v>
      </c>
      <c r="H26" s="541">
        <v>4.07</v>
      </c>
      <c r="I26" s="415" t="s">
        <v>728</v>
      </c>
    </row>
    <row r="27" spans="4:21" ht="15.75" thickBot="1" x14ac:dyDescent="0.3">
      <c r="D27" s="412" t="s">
        <v>388</v>
      </c>
      <c r="E27" s="537">
        <v>7.09</v>
      </c>
      <c r="F27" s="537">
        <v>8.65</v>
      </c>
      <c r="G27" s="544">
        <v>10.64</v>
      </c>
      <c r="H27" s="541">
        <v>12.46</v>
      </c>
      <c r="I27" s="415" t="s">
        <v>728</v>
      </c>
    </row>
    <row r="28" spans="4:21" ht="15.75" thickBot="1" x14ac:dyDescent="0.3">
      <c r="D28" s="412" t="s">
        <v>386</v>
      </c>
      <c r="E28" s="537">
        <v>9.4</v>
      </c>
      <c r="F28" s="537">
        <v>12.04</v>
      </c>
      <c r="G28" s="544">
        <v>18.010000000000002</v>
      </c>
      <c r="H28" s="539">
        <v>21.06</v>
      </c>
      <c r="I28" s="415" t="s">
        <v>728</v>
      </c>
    </row>
    <row r="29" spans="4:21" x14ac:dyDescent="0.25">
      <c r="D29" s="1306" t="s">
        <v>514</v>
      </c>
      <c r="E29" s="1307"/>
      <c r="F29" s="1307"/>
      <c r="G29" s="1307"/>
      <c r="H29" s="1307"/>
      <c r="I29" s="1257"/>
    </row>
    <row r="30" spans="4:21" ht="15.75" thickBot="1" x14ac:dyDescent="0.3">
      <c r="D30" s="416" t="s">
        <v>683</v>
      </c>
      <c r="E30" s="413"/>
      <c r="F30" s="413"/>
      <c r="G30" s="413"/>
      <c r="I30" s="413" t="s">
        <v>729</v>
      </c>
    </row>
    <row r="31" spans="4:21" ht="16.5" thickBot="1" x14ac:dyDescent="0.3">
      <c r="D31" s="416" t="s">
        <v>516</v>
      </c>
      <c r="E31" s="413"/>
      <c r="F31" s="413"/>
      <c r="G31" s="413"/>
      <c r="I31" s="413" t="s">
        <v>729</v>
      </c>
      <c r="Q31" s="417"/>
      <c r="R31" s="418"/>
      <c r="S31" s="418"/>
      <c r="T31" s="419"/>
    </row>
    <row r="32" spans="4:21" ht="16.5" thickBot="1" x14ac:dyDescent="0.3">
      <c r="D32" s="416" t="s">
        <v>517</v>
      </c>
      <c r="E32" s="1238" t="s">
        <v>518</v>
      </c>
      <c r="F32" s="1239"/>
      <c r="G32" s="1240"/>
      <c r="I32" s="413" t="s">
        <v>729</v>
      </c>
      <c r="Q32" s="1308" t="s">
        <v>731</v>
      </c>
      <c r="R32" s="1309"/>
      <c r="S32" s="1309"/>
      <c r="T32" s="1309"/>
      <c r="U32" s="1309"/>
    </row>
    <row r="33" spans="4:21" ht="18" customHeight="1" thickBot="1" x14ac:dyDescent="0.3">
      <c r="D33" s="416" t="s">
        <v>519</v>
      </c>
      <c r="E33" s="1238"/>
      <c r="F33" s="1239"/>
      <c r="G33" s="1240"/>
      <c r="I33" s="413" t="s">
        <v>729</v>
      </c>
      <c r="Q33" s="420"/>
      <c r="R33" s="574" t="s">
        <v>754</v>
      </c>
      <c r="S33" s="574" t="s">
        <v>755</v>
      </c>
      <c r="T33" s="421" t="s">
        <v>533</v>
      </c>
      <c r="U33" s="422" t="s">
        <v>535</v>
      </c>
    </row>
    <row r="34" spans="4:21" ht="16.5" thickBot="1" x14ac:dyDescent="0.3">
      <c r="D34" s="416" t="s">
        <v>520</v>
      </c>
      <c r="E34" s="1238"/>
      <c r="F34" s="1239"/>
      <c r="G34" s="1240"/>
      <c r="I34" s="413" t="s">
        <v>729</v>
      </c>
      <c r="Q34" s="423" t="s">
        <v>417</v>
      </c>
      <c r="R34" s="570">
        <v>102.16</v>
      </c>
      <c r="S34" s="570">
        <v>135.68</v>
      </c>
      <c r="T34" s="570">
        <v>75.59</v>
      </c>
      <c r="U34" s="571">
        <v>60.3</v>
      </c>
    </row>
    <row r="35" spans="4:21" ht="16.5" thickBot="1" x14ac:dyDescent="0.3">
      <c r="D35" s="416" t="s">
        <v>521</v>
      </c>
      <c r="E35" s="1238"/>
      <c r="F35" s="1239"/>
      <c r="G35" s="1240"/>
      <c r="I35" s="413" t="s">
        <v>729</v>
      </c>
      <c r="Q35" s="423" t="s">
        <v>418</v>
      </c>
      <c r="R35" s="570">
        <v>145.59</v>
      </c>
      <c r="S35" s="570">
        <v>146.71</v>
      </c>
      <c r="T35" s="570">
        <v>140.5</v>
      </c>
      <c r="U35" s="571">
        <v>136.88999999999999</v>
      </c>
    </row>
    <row r="36" spans="4:21" ht="16.5" thickBot="1" x14ac:dyDescent="0.3">
      <c r="D36" s="416" t="s">
        <v>522</v>
      </c>
      <c r="E36" s="1238"/>
      <c r="F36" s="1239"/>
      <c r="G36" s="1240"/>
      <c r="I36" s="413" t="s">
        <v>729</v>
      </c>
      <c r="Q36" s="424" t="s">
        <v>458</v>
      </c>
      <c r="R36" s="572">
        <v>109.74</v>
      </c>
      <c r="S36" s="572">
        <v>110.59</v>
      </c>
      <c r="T36" s="572">
        <v>101.84</v>
      </c>
      <c r="U36" s="573">
        <v>98.07</v>
      </c>
    </row>
    <row r="37" spans="4:21" ht="15.75" thickBot="1" x14ac:dyDescent="0.3">
      <c r="D37" s="416" t="s">
        <v>523</v>
      </c>
      <c r="E37" s="1238"/>
      <c r="F37" s="1239"/>
      <c r="G37" s="1240"/>
      <c r="I37" s="413" t="s">
        <v>729</v>
      </c>
    </row>
    <row r="38" spans="4:21" ht="15.75" thickBot="1" x14ac:dyDescent="0.3">
      <c r="D38" s="416" t="s">
        <v>524</v>
      </c>
      <c r="E38" s="1238"/>
      <c r="F38" s="1239"/>
      <c r="G38" s="1240"/>
      <c r="I38" s="413" t="s">
        <v>729</v>
      </c>
    </row>
    <row r="39" spans="4:21" ht="15.75" thickBot="1" x14ac:dyDescent="0.3">
      <c r="D39" s="425" t="s">
        <v>525</v>
      </c>
      <c r="E39" s="1214">
        <f>288000/8394034*1000</f>
        <v>34.31008261343711</v>
      </c>
      <c r="F39" s="1215"/>
      <c r="G39" s="1216"/>
      <c r="I39" s="413" t="s">
        <v>730</v>
      </c>
    </row>
    <row r="40" spans="4:21" ht="15.75" thickBot="1" x14ac:dyDescent="0.3">
      <c r="D40" s="425" t="s">
        <v>526</v>
      </c>
      <c r="E40" s="1238"/>
      <c r="F40" s="1239"/>
      <c r="G40" s="1240"/>
      <c r="I40" s="413" t="s">
        <v>728</v>
      </c>
    </row>
    <row r="41" spans="4:21" ht="15.75" thickBot="1" x14ac:dyDescent="0.3">
      <c r="D41" s="425" t="s">
        <v>527</v>
      </c>
      <c r="E41" s="1238">
        <v>46.8</v>
      </c>
      <c r="F41" s="1239"/>
      <c r="G41" s="1240"/>
      <c r="I41" s="413" t="s">
        <v>728</v>
      </c>
      <c r="Q41" s="1287" t="s">
        <v>559</v>
      </c>
      <c r="R41" s="1288"/>
      <c r="S41" s="1289"/>
    </row>
    <row r="42" spans="4:21" ht="15.75" thickBot="1" x14ac:dyDescent="0.3">
      <c r="D42" s="425" t="s">
        <v>733</v>
      </c>
      <c r="E42" s="1214">
        <f>54180/8394034*1000</f>
        <v>6.4545842916528571</v>
      </c>
      <c r="F42" s="1215"/>
      <c r="G42" s="1216"/>
      <c r="I42" s="413" t="s">
        <v>728</v>
      </c>
      <c r="Q42" s="398">
        <v>100</v>
      </c>
      <c r="R42" s="426" t="s">
        <v>560</v>
      </c>
      <c r="S42" s="427"/>
    </row>
    <row r="43" spans="4:21" ht="15.75" thickBot="1" x14ac:dyDescent="0.3">
      <c r="D43" s="1306" t="s">
        <v>528</v>
      </c>
      <c r="E43" s="1307"/>
      <c r="F43" s="1307"/>
      <c r="G43" s="1307"/>
      <c r="H43" s="1307"/>
      <c r="I43" s="1257"/>
    </row>
    <row r="44" spans="4:21" ht="15.75" thickBot="1" x14ac:dyDescent="0.3">
      <c r="D44" s="416" t="s">
        <v>529</v>
      </c>
      <c r="E44" s="1238">
        <v>22</v>
      </c>
      <c r="F44" s="1239"/>
      <c r="G44" s="1240"/>
      <c r="I44" s="413" t="s">
        <v>728</v>
      </c>
    </row>
    <row r="45" spans="4:21" ht="15.75" thickBot="1" x14ac:dyDescent="0.3">
      <c r="D45" s="416" t="s">
        <v>530</v>
      </c>
      <c r="E45" s="413"/>
      <c r="F45" s="413"/>
      <c r="G45" s="414"/>
      <c r="I45" s="415"/>
    </row>
    <row r="46" spans="4:21" ht="16.5" thickBot="1" x14ac:dyDescent="0.3">
      <c r="D46" s="393" t="s">
        <v>531</v>
      </c>
      <c r="Q46" s="1298" t="s">
        <v>555</v>
      </c>
      <c r="R46" s="1299"/>
      <c r="S46" s="1300"/>
    </row>
    <row r="47" spans="4:21" x14ac:dyDescent="0.25">
      <c r="Q47" s="428" t="s">
        <v>556</v>
      </c>
      <c r="R47" s="429"/>
      <c r="S47" s="430">
        <v>0.02</v>
      </c>
    </row>
    <row r="48" spans="4:21" ht="16.5" thickBot="1" x14ac:dyDescent="0.3">
      <c r="D48" s="1303" t="s">
        <v>394</v>
      </c>
      <c r="E48" s="1304"/>
      <c r="F48" s="1304"/>
      <c r="G48" s="1304"/>
      <c r="H48" s="1304"/>
      <c r="I48" s="1305"/>
      <c r="Q48" s="431" t="s">
        <v>557</v>
      </c>
      <c r="R48" s="432"/>
      <c r="S48" s="433">
        <v>0.1</v>
      </c>
    </row>
    <row r="49" spans="4:24" ht="15.75" thickBot="1" x14ac:dyDescent="0.3">
      <c r="D49" s="1290" t="s">
        <v>509</v>
      </c>
      <c r="E49" s="1301" t="s">
        <v>510</v>
      </c>
      <c r="F49" s="1302"/>
      <c r="G49" s="1302"/>
      <c r="H49" s="1257"/>
      <c r="I49" s="1241" t="s">
        <v>397</v>
      </c>
      <c r="Q49" s="398" t="s">
        <v>558</v>
      </c>
      <c r="R49" s="426"/>
      <c r="S49" s="434">
        <v>0.15</v>
      </c>
    </row>
    <row r="50" spans="4:24" ht="15.75" thickBot="1" x14ac:dyDescent="0.3">
      <c r="D50" s="1291"/>
      <c r="E50" s="411" t="s">
        <v>511</v>
      </c>
      <c r="F50" s="411" t="s">
        <v>512</v>
      </c>
      <c r="G50" s="542" t="s">
        <v>744</v>
      </c>
      <c r="H50" s="536" t="s">
        <v>745</v>
      </c>
      <c r="I50" s="1242"/>
    </row>
    <row r="51" spans="4:24" ht="15.75" thickBot="1" x14ac:dyDescent="0.3">
      <c r="D51" s="1255" t="s">
        <v>513</v>
      </c>
      <c r="E51" s="1256"/>
      <c r="F51" s="1256"/>
      <c r="G51" s="1256"/>
      <c r="H51" s="1256"/>
      <c r="I51" s="1257"/>
    </row>
    <row r="52" spans="4:24" ht="15.75" thickBot="1" x14ac:dyDescent="0.3">
      <c r="D52" s="435" t="s">
        <v>412</v>
      </c>
      <c r="E52" s="537">
        <v>20.100000000000001</v>
      </c>
      <c r="F52" s="537">
        <v>19.760000000000002</v>
      </c>
      <c r="G52" s="538">
        <v>15.56</v>
      </c>
      <c r="H52" s="539">
        <v>15.07</v>
      </c>
      <c r="I52" s="415" t="s">
        <v>728</v>
      </c>
    </row>
    <row r="53" spans="4:24" ht="15.75" thickBot="1" x14ac:dyDescent="0.3">
      <c r="D53" s="435" t="s">
        <v>414</v>
      </c>
      <c r="E53" s="537">
        <v>3.5</v>
      </c>
      <c r="F53" s="537">
        <v>3.77</v>
      </c>
      <c r="G53" s="538">
        <v>4.05</v>
      </c>
      <c r="H53" s="539">
        <v>6.23</v>
      </c>
      <c r="I53" s="415" t="s">
        <v>728</v>
      </c>
    </row>
    <row r="54" spans="4:24" ht="15.75" thickBot="1" x14ac:dyDescent="0.3">
      <c r="D54" s="435" t="s">
        <v>388</v>
      </c>
      <c r="E54" s="537">
        <v>17.399999999999999</v>
      </c>
      <c r="F54" s="537">
        <v>15.13</v>
      </c>
      <c r="G54" s="538">
        <v>19.36</v>
      </c>
      <c r="H54" s="539">
        <v>20.05</v>
      </c>
      <c r="I54" s="415" t="s">
        <v>728</v>
      </c>
      <c r="Q54" s="436"/>
      <c r="R54" s="436"/>
      <c r="S54" s="436"/>
      <c r="T54" s="436"/>
    </row>
    <row r="55" spans="4:24" ht="15.75" thickBot="1" x14ac:dyDescent="0.3">
      <c r="D55" s="435" t="s">
        <v>386</v>
      </c>
      <c r="E55" s="537">
        <v>6.2</v>
      </c>
      <c r="F55" s="537">
        <v>5.34</v>
      </c>
      <c r="G55" s="538">
        <v>5.39</v>
      </c>
      <c r="H55" s="539">
        <v>4.79</v>
      </c>
      <c r="I55" s="415" t="s">
        <v>728</v>
      </c>
      <c r="Q55" s="437"/>
      <c r="R55" s="436"/>
      <c r="S55" s="436"/>
      <c r="T55" s="436"/>
    </row>
    <row r="56" spans="4:24" ht="16.5" hidden="1" thickBot="1" x14ac:dyDescent="0.3">
      <c r="D56" s="1292" t="s">
        <v>514</v>
      </c>
      <c r="E56" s="1293"/>
      <c r="F56" s="1293"/>
      <c r="G56" s="1293"/>
      <c r="H56" s="1294"/>
      <c r="Q56" s="436"/>
      <c r="R56" s="436"/>
      <c r="S56" s="436"/>
      <c r="T56" s="436"/>
      <c r="V56" s="417"/>
      <c r="W56" s="438"/>
      <c r="X56" s="436"/>
    </row>
    <row r="57" spans="4:24" ht="16.5" hidden="1" thickBot="1" x14ac:dyDescent="0.3">
      <c r="D57" s="416" t="s">
        <v>683</v>
      </c>
      <c r="E57" s="439"/>
      <c r="F57" s="413"/>
      <c r="G57" s="414"/>
      <c r="H57" s="415" t="s">
        <v>515</v>
      </c>
      <c r="Q57" s="436"/>
      <c r="R57" s="436"/>
      <c r="S57" s="436"/>
      <c r="T57" s="436"/>
      <c r="V57" s="437"/>
      <c r="W57" s="438"/>
      <c r="X57" s="436"/>
    </row>
    <row r="58" spans="4:24" ht="15.75" hidden="1" thickBot="1" x14ac:dyDescent="0.3">
      <c r="D58" s="416" t="s">
        <v>516</v>
      </c>
      <c r="E58" s="439"/>
      <c r="F58" s="413"/>
      <c r="G58" s="414"/>
      <c r="H58" s="415" t="s">
        <v>515</v>
      </c>
      <c r="Q58" s="436"/>
      <c r="R58" s="436"/>
      <c r="S58" s="436"/>
      <c r="T58" s="436"/>
    </row>
    <row r="59" spans="4:24" ht="15.75" hidden="1" thickBot="1" x14ac:dyDescent="0.3">
      <c r="D59" s="416" t="s">
        <v>517</v>
      </c>
      <c r="E59" s="439"/>
      <c r="F59" s="413"/>
      <c r="G59" s="414"/>
      <c r="H59" s="415" t="s">
        <v>515</v>
      </c>
      <c r="Q59" s="436"/>
      <c r="R59" s="436"/>
      <c r="S59" s="436"/>
      <c r="T59" s="436"/>
    </row>
    <row r="60" spans="4:24" ht="15.75" hidden="1" thickBot="1" x14ac:dyDescent="0.3">
      <c r="D60" s="416" t="s">
        <v>519</v>
      </c>
      <c r="E60" s="439"/>
      <c r="F60" s="413"/>
      <c r="G60" s="414"/>
      <c r="H60" s="415" t="s">
        <v>515</v>
      </c>
      <c r="Q60" s="436"/>
      <c r="R60" s="436"/>
      <c r="S60" s="436"/>
      <c r="T60" s="436"/>
      <c r="U60" s="440"/>
    </row>
    <row r="61" spans="4:24" ht="15.75" hidden="1" thickBot="1" x14ac:dyDescent="0.3">
      <c r="D61" s="416" t="s">
        <v>520</v>
      </c>
      <c r="E61" s="439"/>
      <c r="F61" s="413"/>
      <c r="G61" s="414"/>
      <c r="H61" s="415" t="s">
        <v>515</v>
      </c>
      <c r="Q61" s="436"/>
      <c r="R61" s="436"/>
      <c r="S61" s="436"/>
      <c r="T61" s="436"/>
    </row>
    <row r="62" spans="4:24" ht="15.75" hidden="1" thickBot="1" x14ac:dyDescent="0.3">
      <c r="D62" s="416" t="s">
        <v>521</v>
      </c>
      <c r="E62" s="439"/>
      <c r="F62" s="413"/>
      <c r="G62" s="414"/>
      <c r="H62" s="415" t="s">
        <v>515</v>
      </c>
      <c r="Q62" s="436"/>
      <c r="R62" s="436"/>
      <c r="S62" s="436"/>
      <c r="T62" s="436"/>
    </row>
    <row r="63" spans="4:24" ht="15.75" hidden="1" thickBot="1" x14ac:dyDescent="0.3">
      <c r="D63" s="416" t="s">
        <v>522</v>
      </c>
      <c r="E63" s="439"/>
      <c r="F63" s="413"/>
      <c r="G63" s="414"/>
      <c r="H63" s="415" t="s">
        <v>515</v>
      </c>
      <c r="Q63" s="436"/>
      <c r="R63" s="436"/>
      <c r="S63" s="436"/>
      <c r="T63" s="436"/>
    </row>
    <row r="64" spans="4:24" ht="16.5" hidden="1" thickBot="1" x14ac:dyDescent="0.3">
      <c r="D64" s="416" t="s">
        <v>523</v>
      </c>
      <c r="E64" s="439"/>
      <c r="F64" s="413"/>
      <c r="G64" s="414"/>
      <c r="H64" s="415" t="s">
        <v>515</v>
      </c>
      <c r="Q64" s="441"/>
    </row>
    <row r="65" spans="4:15" ht="15.75" hidden="1" thickBot="1" x14ac:dyDescent="0.3">
      <c r="D65" s="416" t="s">
        <v>524</v>
      </c>
      <c r="E65" s="439"/>
      <c r="F65" s="413"/>
      <c r="G65" s="414"/>
      <c r="H65" s="415" t="s">
        <v>515</v>
      </c>
    </row>
    <row r="66" spans="4:15" ht="15.75" thickBot="1" x14ac:dyDescent="0.3">
      <c r="D66" s="442" t="s">
        <v>525</v>
      </c>
      <c r="E66" s="1214">
        <f>404000/8394034*1000</f>
        <v>48.129421443849289</v>
      </c>
      <c r="F66" s="1215"/>
      <c r="G66" s="1216"/>
      <c r="I66" s="413" t="s">
        <v>730</v>
      </c>
    </row>
    <row r="67" spans="4:15" ht="15.75" thickBot="1" x14ac:dyDescent="0.3">
      <c r="D67" s="442" t="s">
        <v>526</v>
      </c>
      <c r="E67" s="1238">
        <v>0.5</v>
      </c>
      <c r="F67" s="1239"/>
      <c r="G67" s="1240"/>
      <c r="I67" s="413" t="s">
        <v>728</v>
      </c>
    </row>
    <row r="68" spans="4:15" ht="15.75" thickBot="1" x14ac:dyDescent="0.3">
      <c r="D68" s="442" t="s">
        <v>527</v>
      </c>
      <c r="E68" s="1238">
        <v>0</v>
      </c>
      <c r="F68" s="1239"/>
      <c r="G68" s="1240"/>
      <c r="I68" s="413" t="s">
        <v>728</v>
      </c>
    </row>
    <row r="69" spans="4:15" ht="15.75" thickBot="1" x14ac:dyDescent="0.3">
      <c r="D69" s="442" t="s">
        <v>733</v>
      </c>
      <c r="E69" s="1214">
        <f>74000/8394034*1000</f>
        <v>8.8157851159525933</v>
      </c>
      <c r="F69" s="1215"/>
      <c r="G69" s="1216"/>
      <c r="I69" s="413" t="s">
        <v>728</v>
      </c>
    </row>
    <row r="70" spans="4:15" ht="15.75" thickBot="1" x14ac:dyDescent="0.3">
      <c r="D70" s="1255" t="s">
        <v>528</v>
      </c>
      <c r="E70" s="1256"/>
      <c r="F70" s="1256"/>
      <c r="G70" s="1256"/>
      <c r="H70" s="1256"/>
      <c r="I70" s="1257"/>
    </row>
    <row r="71" spans="4:15" ht="15.75" thickBot="1" x14ac:dyDescent="0.3">
      <c r="D71" s="443" t="s">
        <v>529</v>
      </c>
      <c r="E71" s="1252">
        <v>2</v>
      </c>
      <c r="F71" s="1253"/>
      <c r="G71" s="1254"/>
      <c r="I71" s="413" t="s">
        <v>728</v>
      </c>
    </row>
    <row r="72" spans="4:15" ht="15.75" thickBot="1" x14ac:dyDescent="0.3">
      <c r="D72" s="443" t="s">
        <v>530</v>
      </c>
      <c r="E72" s="1238">
        <v>2.2000000000000002</v>
      </c>
      <c r="F72" s="1239"/>
      <c r="G72" s="1240"/>
      <c r="I72" s="413" t="s">
        <v>728</v>
      </c>
    </row>
    <row r="73" spans="4:15" x14ac:dyDescent="0.25">
      <c r="D73" s="393" t="s">
        <v>531</v>
      </c>
    </row>
    <row r="75" spans="4:15" ht="23.25" x14ac:dyDescent="0.25">
      <c r="D75" s="444" t="s">
        <v>125</v>
      </c>
      <c r="E75" s="444"/>
      <c r="F75" s="444"/>
      <c r="G75" s="444"/>
      <c r="H75" s="444"/>
      <c r="I75" s="444"/>
      <c r="J75" s="444"/>
      <c r="K75" s="444"/>
      <c r="L75" s="444"/>
      <c r="M75" s="444"/>
      <c r="N75" s="444"/>
      <c r="O75" s="444"/>
    </row>
    <row r="77" spans="4:15" ht="15.75" thickBot="1" x14ac:dyDescent="0.3"/>
    <row r="78" spans="4:15" ht="23.25" customHeight="1" thickBot="1" x14ac:dyDescent="0.3">
      <c r="D78" s="1229" t="s">
        <v>684</v>
      </c>
      <c r="E78" s="1230"/>
      <c r="F78" s="1230"/>
    </row>
    <row r="79" spans="4:15" ht="33" customHeight="1" thickBot="1" x14ac:dyDescent="0.3">
      <c r="D79" s="445" t="s">
        <v>395</v>
      </c>
      <c r="E79" s="446" t="s">
        <v>734</v>
      </c>
      <c r="F79" s="447" t="s">
        <v>735</v>
      </c>
      <c r="H79" s="1234" t="s">
        <v>27</v>
      </c>
      <c r="I79" s="1235"/>
    </row>
    <row r="80" spans="4:15" ht="15.75" thickBot="1" x14ac:dyDescent="0.3">
      <c r="D80" s="448" t="s">
        <v>385</v>
      </c>
      <c r="E80" s="449">
        <v>9.6999999999999993</v>
      </c>
      <c r="F80" s="450">
        <v>7.7</v>
      </c>
      <c r="H80" s="1236">
        <v>3.8199999999999998E-2</v>
      </c>
      <c r="I80" s="1237"/>
    </row>
    <row r="81" spans="4:15" x14ac:dyDescent="0.25">
      <c r="D81" s="448" t="s">
        <v>386</v>
      </c>
      <c r="E81" s="449">
        <v>1.1000000000000001</v>
      </c>
      <c r="F81" s="450">
        <v>0</v>
      </c>
    </row>
    <row r="82" spans="4:15" x14ac:dyDescent="0.25">
      <c r="D82" s="448" t="s">
        <v>387</v>
      </c>
      <c r="E82" s="449">
        <v>2.2000000000000002</v>
      </c>
      <c r="F82" s="450">
        <v>0.1</v>
      </c>
    </row>
    <row r="83" spans="4:15" x14ac:dyDescent="0.25">
      <c r="D83" s="448" t="s">
        <v>388</v>
      </c>
      <c r="E83" s="449">
        <v>8.9</v>
      </c>
      <c r="F83" s="450">
        <v>0.3</v>
      </c>
    </row>
    <row r="84" spans="4:15" x14ac:dyDescent="0.25">
      <c r="D84" s="1243" t="s">
        <v>389</v>
      </c>
      <c r="E84" s="1244"/>
      <c r="F84" s="1245"/>
    </row>
    <row r="85" spans="4:15" x14ac:dyDescent="0.25">
      <c r="D85" s="448" t="s">
        <v>417</v>
      </c>
      <c r="E85" s="449">
        <v>3.4</v>
      </c>
      <c r="F85" s="450">
        <v>0</v>
      </c>
    </row>
    <row r="86" spans="4:15" x14ac:dyDescent="0.25">
      <c r="D86" s="448" t="s">
        <v>502</v>
      </c>
      <c r="E86" s="449">
        <v>15.2</v>
      </c>
      <c r="F86" s="450">
        <v>0</v>
      </c>
    </row>
    <row r="87" spans="4:15" x14ac:dyDescent="0.25">
      <c r="D87" s="448" t="s">
        <v>503</v>
      </c>
      <c r="E87" s="449">
        <v>9</v>
      </c>
      <c r="F87" s="450">
        <v>0</v>
      </c>
    </row>
    <row r="88" spans="4:15" ht="15.75" thickBot="1" x14ac:dyDescent="0.3">
      <c r="D88" s="451"/>
      <c r="E88" s="452"/>
      <c r="F88" s="450"/>
    </row>
    <row r="89" spans="4:15" ht="15.75" thickBot="1" x14ac:dyDescent="0.3">
      <c r="D89" s="453" t="s">
        <v>276</v>
      </c>
      <c r="E89" s="454">
        <f>SUM(E80:E87)</f>
        <v>49.5</v>
      </c>
      <c r="F89" s="455">
        <f>SUM(F80:F88)</f>
        <v>8.1</v>
      </c>
    </row>
    <row r="91" spans="4:15" ht="15.75" thickBot="1" x14ac:dyDescent="0.3"/>
    <row r="92" spans="4:15" ht="22.5" customHeight="1" thickBot="1" x14ac:dyDescent="0.3">
      <c r="D92" s="1229" t="s">
        <v>394</v>
      </c>
      <c r="E92" s="1230"/>
      <c r="F92" s="1230"/>
      <c r="G92" s="1230"/>
      <c r="H92" s="1230"/>
      <c r="I92" s="1230"/>
      <c r="J92" s="1230"/>
      <c r="K92" s="1230"/>
      <c r="L92" s="1230"/>
      <c r="M92" s="1230"/>
      <c r="N92" s="1230"/>
      <c r="O92" s="1265"/>
    </row>
    <row r="93" spans="4:15" ht="19.5" thickBot="1" x14ac:dyDescent="0.3">
      <c r="D93" s="1274" t="s">
        <v>395</v>
      </c>
      <c r="E93" s="1219" t="s">
        <v>396</v>
      </c>
      <c r="F93" s="1220"/>
      <c r="G93" s="1220"/>
      <c r="H93" s="1220"/>
      <c r="I93" s="1220"/>
      <c r="J93" s="1220"/>
      <c r="K93" s="1220"/>
      <c r="L93" s="1220"/>
      <c r="M93" s="1220"/>
      <c r="N93" s="1221"/>
      <c r="O93" s="1222" t="s">
        <v>397</v>
      </c>
    </row>
    <row r="94" spans="4:15" ht="15.75" thickBot="1" x14ac:dyDescent="0.3">
      <c r="D94" s="1275"/>
      <c r="E94" s="1225" t="s">
        <v>398</v>
      </c>
      <c r="F94" s="1226"/>
      <c r="G94" s="1226"/>
      <c r="H94" s="1226"/>
      <c r="I94" s="1227"/>
      <c r="J94" s="1228" t="s">
        <v>399</v>
      </c>
      <c r="K94" s="1227"/>
      <c r="L94" s="1228" t="s">
        <v>400</v>
      </c>
      <c r="M94" s="1226"/>
      <c r="N94" s="1227"/>
      <c r="O94" s="1223"/>
    </row>
    <row r="95" spans="4:15" ht="15.75" thickBot="1" x14ac:dyDescent="0.3">
      <c r="D95" s="1276"/>
      <c r="E95" s="456" t="s">
        <v>401</v>
      </c>
      <c r="F95" s="456" t="s">
        <v>402</v>
      </c>
      <c r="G95" s="456" t="s">
        <v>403</v>
      </c>
      <c r="H95" s="456" t="s">
        <v>404</v>
      </c>
      <c r="I95" s="456" t="s">
        <v>405</v>
      </c>
      <c r="J95" s="456" t="s">
        <v>406</v>
      </c>
      <c r="K95" s="456" t="s">
        <v>407</v>
      </c>
      <c r="L95" s="456" t="s">
        <v>408</v>
      </c>
      <c r="M95" s="456" t="s">
        <v>409</v>
      </c>
      <c r="N95" s="456" t="s">
        <v>410</v>
      </c>
      <c r="O95" s="1224"/>
    </row>
    <row r="96" spans="4:15" ht="15.75" thickBot="1" x14ac:dyDescent="0.3">
      <c r="D96" s="1246" t="s">
        <v>411</v>
      </c>
      <c r="E96" s="1247"/>
      <c r="F96" s="1247"/>
      <c r="G96" s="1247"/>
      <c r="H96" s="1247"/>
      <c r="I96" s="1247"/>
      <c r="J96" s="1247"/>
      <c r="K96" s="1247"/>
      <c r="L96" s="1247"/>
      <c r="M96" s="1247"/>
      <c r="N96" s="1247"/>
      <c r="O96" s="1248"/>
    </row>
    <row r="97" spans="4:15" ht="15.75" thickBot="1" x14ac:dyDescent="0.3">
      <c r="D97" s="457" t="s">
        <v>412</v>
      </c>
      <c r="E97" s="458">
        <v>351.6</v>
      </c>
      <c r="F97" s="459">
        <v>177.3</v>
      </c>
      <c r="G97" s="459">
        <v>249.4</v>
      </c>
      <c r="H97" s="460">
        <v>79.900000000000006</v>
      </c>
      <c r="I97" s="461">
        <v>119.9</v>
      </c>
      <c r="J97" s="459">
        <v>401.2</v>
      </c>
      <c r="K97" s="459">
        <v>416.5</v>
      </c>
      <c r="L97" s="459">
        <v>10.5</v>
      </c>
      <c r="M97" s="459">
        <v>19</v>
      </c>
      <c r="N97" s="459">
        <v>9.6</v>
      </c>
      <c r="O97" s="462" t="s">
        <v>413</v>
      </c>
    </row>
    <row r="98" spans="4:15" ht="15.75" thickBot="1" x14ac:dyDescent="0.3">
      <c r="D98" s="457" t="s">
        <v>414</v>
      </c>
      <c r="E98" s="458">
        <v>47.9</v>
      </c>
      <c r="F98" s="459">
        <v>24.2</v>
      </c>
      <c r="G98" s="459">
        <v>34</v>
      </c>
      <c r="H98" s="460">
        <v>10.9</v>
      </c>
      <c r="I98" s="463">
        <v>16.399999999999999</v>
      </c>
      <c r="J98" s="459">
        <v>47</v>
      </c>
      <c r="K98" s="459">
        <v>58.2</v>
      </c>
      <c r="L98" s="459">
        <v>1.3</v>
      </c>
      <c r="M98" s="459">
        <v>3</v>
      </c>
      <c r="N98" s="459">
        <v>3.2</v>
      </c>
      <c r="O98" s="462" t="s">
        <v>413</v>
      </c>
    </row>
    <row r="99" spans="4:15" ht="15.75" thickBot="1" x14ac:dyDescent="0.3">
      <c r="D99" s="457" t="s">
        <v>415</v>
      </c>
      <c r="E99" s="458">
        <v>223.7</v>
      </c>
      <c r="F99" s="459">
        <v>112.8</v>
      </c>
      <c r="G99" s="459">
        <v>158.69999999999999</v>
      </c>
      <c r="H99" s="460">
        <v>50.9</v>
      </c>
      <c r="I99" s="463">
        <v>76.3</v>
      </c>
      <c r="J99" s="459">
        <v>153</v>
      </c>
      <c r="K99" s="459">
        <v>191.9</v>
      </c>
      <c r="L99" s="459">
        <v>4.7</v>
      </c>
      <c r="M99" s="459">
        <v>23</v>
      </c>
      <c r="N99" s="459">
        <v>6.9</v>
      </c>
      <c r="O99" s="462" t="s">
        <v>413</v>
      </c>
    </row>
    <row r="100" spans="4:15" ht="15.75" thickBot="1" x14ac:dyDescent="0.3">
      <c r="D100" s="457" t="s">
        <v>416</v>
      </c>
      <c r="E100" s="458">
        <v>16</v>
      </c>
      <c r="F100" s="459">
        <v>8.1</v>
      </c>
      <c r="G100" s="459">
        <v>11.3</v>
      </c>
      <c r="H100" s="460">
        <v>3.6</v>
      </c>
      <c r="I100" s="463">
        <v>5.5</v>
      </c>
      <c r="J100" s="459">
        <v>204</v>
      </c>
      <c r="K100" s="459">
        <v>45.3</v>
      </c>
      <c r="L100" s="459">
        <v>1.4</v>
      </c>
      <c r="M100" s="459">
        <v>2.1</v>
      </c>
      <c r="N100" s="459">
        <v>1</v>
      </c>
      <c r="O100" s="462" t="s">
        <v>413</v>
      </c>
    </row>
    <row r="101" spans="4:15" ht="15.75" thickBot="1" x14ac:dyDescent="0.3">
      <c r="D101" s="1249" t="s">
        <v>389</v>
      </c>
      <c r="E101" s="1250"/>
      <c r="F101" s="1250"/>
      <c r="G101" s="1250"/>
      <c r="H101" s="1250"/>
      <c r="I101" s="1250"/>
      <c r="J101" s="1250"/>
      <c r="K101" s="1250"/>
      <c r="L101" s="1250"/>
      <c r="M101" s="1250"/>
      <c r="N101" s="1250"/>
      <c r="O101" s="1251"/>
    </row>
    <row r="102" spans="4:15" ht="15.75" customHeight="1" thickBot="1" x14ac:dyDescent="0.3">
      <c r="D102" s="457" t="s">
        <v>417</v>
      </c>
      <c r="E102" s="464">
        <v>28.1</v>
      </c>
      <c r="F102" s="464">
        <v>14.1</v>
      </c>
      <c r="G102" s="464">
        <v>19.899999999999999</v>
      </c>
      <c r="H102" s="464">
        <v>6.4</v>
      </c>
      <c r="I102" s="459">
        <v>9.5</v>
      </c>
      <c r="J102" s="459">
        <v>114.9</v>
      </c>
      <c r="K102" s="459">
        <v>48.4</v>
      </c>
      <c r="L102" s="459">
        <v>0.9</v>
      </c>
      <c r="M102" s="459">
        <v>7.6</v>
      </c>
      <c r="N102" s="459">
        <v>3.5</v>
      </c>
      <c r="O102" s="465" t="s">
        <v>413</v>
      </c>
    </row>
    <row r="103" spans="4:15" ht="16.5" customHeight="1" thickBot="1" x14ac:dyDescent="0.3">
      <c r="D103" s="457" t="s">
        <v>418</v>
      </c>
      <c r="E103" s="464">
        <v>195.1</v>
      </c>
      <c r="F103" s="464">
        <v>98.4</v>
      </c>
      <c r="G103" s="464">
        <v>138.5</v>
      </c>
      <c r="H103" s="464">
        <v>44.3</v>
      </c>
      <c r="I103" s="459">
        <v>66.400000000000006</v>
      </c>
      <c r="J103" s="459">
        <v>799.1</v>
      </c>
      <c r="K103" s="459">
        <v>337</v>
      </c>
      <c r="L103" s="459">
        <v>6.1</v>
      </c>
      <c r="M103" s="459">
        <v>53.2</v>
      </c>
      <c r="N103" s="459">
        <v>24.4</v>
      </c>
      <c r="O103" s="465" t="s">
        <v>413</v>
      </c>
    </row>
    <row r="104" spans="4:15" ht="15.75" thickBot="1" x14ac:dyDescent="0.3">
      <c r="D104" s="457" t="s">
        <v>419</v>
      </c>
      <c r="E104" s="464">
        <v>40.5</v>
      </c>
      <c r="F104" s="464">
        <v>20.399999999999999</v>
      </c>
      <c r="G104" s="464">
        <v>28.8</v>
      </c>
      <c r="H104" s="464">
        <v>9.1999999999999993</v>
      </c>
      <c r="I104" s="459">
        <v>13.8</v>
      </c>
      <c r="J104" s="459">
        <v>165.9</v>
      </c>
      <c r="K104" s="459">
        <v>70</v>
      </c>
      <c r="L104" s="459">
        <v>1.3</v>
      </c>
      <c r="M104" s="459">
        <v>11</v>
      </c>
      <c r="N104" s="459">
        <v>5.0999999999999996</v>
      </c>
      <c r="O104" s="465" t="s">
        <v>413</v>
      </c>
    </row>
    <row r="105" spans="4:15" ht="22.5" customHeight="1" thickBot="1" x14ac:dyDescent="0.3">
      <c r="D105" s="1229" t="s">
        <v>420</v>
      </c>
      <c r="E105" s="1230"/>
      <c r="F105" s="1230"/>
      <c r="G105" s="1230"/>
      <c r="H105" s="1230"/>
      <c r="I105" s="1230"/>
      <c r="J105" s="1230"/>
      <c r="K105" s="1230"/>
      <c r="L105" s="1230"/>
      <c r="M105" s="1230"/>
      <c r="N105" s="1230"/>
      <c r="O105" s="1265"/>
    </row>
    <row r="106" spans="4:15" ht="15.75" thickBot="1" x14ac:dyDescent="0.3">
      <c r="D106" s="1249" t="s">
        <v>411</v>
      </c>
      <c r="E106" s="1250"/>
      <c r="F106" s="1250"/>
      <c r="G106" s="1250"/>
      <c r="H106" s="1250"/>
      <c r="I106" s="1250"/>
      <c r="J106" s="1250"/>
      <c r="K106" s="1250"/>
      <c r="L106" s="1250"/>
      <c r="M106" s="1250"/>
      <c r="N106" s="1250"/>
      <c r="O106" s="1251"/>
    </row>
    <row r="107" spans="4:15" ht="15.75" thickBot="1" x14ac:dyDescent="0.3">
      <c r="D107" s="457" t="s">
        <v>412</v>
      </c>
      <c r="E107" s="458">
        <v>45.8</v>
      </c>
      <c r="F107" s="459">
        <v>23.1</v>
      </c>
      <c r="G107" s="459">
        <v>32.5</v>
      </c>
      <c r="H107" s="460">
        <v>10.4</v>
      </c>
      <c r="I107" s="461">
        <v>15.6</v>
      </c>
      <c r="J107" s="459">
        <v>521.79999999999995</v>
      </c>
      <c r="K107" s="459">
        <v>728.8</v>
      </c>
      <c r="L107" s="459">
        <v>81.3</v>
      </c>
      <c r="M107" s="459">
        <v>63.6</v>
      </c>
      <c r="N107" s="459">
        <v>15</v>
      </c>
      <c r="O107" s="462" t="s">
        <v>413</v>
      </c>
    </row>
    <row r="108" spans="4:15" ht="15.75" thickBot="1" x14ac:dyDescent="0.3">
      <c r="D108" s="457" t="s">
        <v>414</v>
      </c>
      <c r="E108" s="458">
        <v>48.8</v>
      </c>
      <c r="F108" s="459">
        <v>24.6</v>
      </c>
      <c r="G108" s="459">
        <v>34.6</v>
      </c>
      <c r="H108" s="460">
        <v>11.1</v>
      </c>
      <c r="I108" s="463">
        <v>16.600000000000001</v>
      </c>
      <c r="J108" s="459">
        <v>2.8</v>
      </c>
      <c r="K108" s="459">
        <v>47.7</v>
      </c>
      <c r="L108" s="459">
        <v>4.4000000000000004</v>
      </c>
      <c r="M108" s="459">
        <v>3.7</v>
      </c>
      <c r="N108" s="459">
        <v>1.3</v>
      </c>
      <c r="O108" s="462" t="s">
        <v>413</v>
      </c>
    </row>
    <row r="109" spans="4:15" ht="15.75" thickBot="1" x14ac:dyDescent="0.3">
      <c r="D109" s="457" t="s">
        <v>415</v>
      </c>
      <c r="E109" s="458">
        <v>32.4</v>
      </c>
      <c r="F109" s="459">
        <v>16.3</v>
      </c>
      <c r="G109" s="459">
        <v>23</v>
      </c>
      <c r="H109" s="460">
        <v>7.4</v>
      </c>
      <c r="I109" s="463">
        <v>11.1</v>
      </c>
      <c r="J109" s="459">
        <v>12.3</v>
      </c>
      <c r="K109" s="459">
        <v>61.7</v>
      </c>
      <c r="L109" s="459">
        <v>1.1000000000000001</v>
      </c>
      <c r="M109" s="459">
        <v>3.1</v>
      </c>
      <c r="N109" s="459">
        <v>1.2</v>
      </c>
      <c r="O109" s="462" t="s">
        <v>413</v>
      </c>
    </row>
    <row r="110" spans="4:15" ht="15.75" thickBot="1" x14ac:dyDescent="0.3">
      <c r="D110" s="457" t="s">
        <v>416</v>
      </c>
      <c r="E110" s="458">
        <v>5.9</v>
      </c>
      <c r="F110" s="459">
        <v>3</v>
      </c>
      <c r="G110" s="459">
        <v>4.2</v>
      </c>
      <c r="H110" s="460">
        <v>1.3</v>
      </c>
      <c r="I110" s="463">
        <v>2</v>
      </c>
      <c r="J110" s="459">
        <v>46.2</v>
      </c>
      <c r="K110" s="459">
        <v>29</v>
      </c>
      <c r="L110" s="459">
        <v>1.8</v>
      </c>
      <c r="M110" s="459">
        <v>1.2</v>
      </c>
      <c r="N110" s="459">
        <v>0.2</v>
      </c>
      <c r="O110" s="462" t="s">
        <v>413</v>
      </c>
    </row>
    <row r="111" spans="4:15" ht="15.75" thickBot="1" x14ac:dyDescent="0.3">
      <c r="D111" s="1249" t="s">
        <v>389</v>
      </c>
      <c r="E111" s="1250"/>
      <c r="F111" s="1250"/>
      <c r="G111" s="1250"/>
      <c r="H111" s="1250"/>
      <c r="I111" s="1250"/>
      <c r="J111" s="1250"/>
      <c r="K111" s="1250"/>
      <c r="L111" s="1250"/>
      <c r="M111" s="1250"/>
      <c r="N111" s="1250"/>
      <c r="O111" s="1251"/>
    </row>
    <row r="112" spans="4:15" ht="15.75" thickBot="1" x14ac:dyDescent="0.3">
      <c r="D112" s="457" t="s">
        <v>417</v>
      </c>
      <c r="E112" s="466">
        <v>0</v>
      </c>
      <c r="F112" s="466">
        <v>0</v>
      </c>
      <c r="G112" s="466">
        <v>0</v>
      </c>
      <c r="H112" s="466">
        <v>0</v>
      </c>
      <c r="I112" s="466">
        <v>0</v>
      </c>
      <c r="J112" s="466">
        <v>0</v>
      </c>
      <c r="K112" s="466">
        <v>0</v>
      </c>
      <c r="L112" s="466">
        <v>0</v>
      </c>
      <c r="M112" s="466">
        <v>0</v>
      </c>
      <c r="N112" s="466">
        <v>0</v>
      </c>
      <c r="O112" s="462" t="s">
        <v>413</v>
      </c>
    </row>
    <row r="113" spans="1:15" ht="15.75" thickBot="1" x14ac:dyDescent="0.3">
      <c r="D113" s="457" t="s">
        <v>418</v>
      </c>
      <c r="E113" s="466">
        <v>0</v>
      </c>
      <c r="F113" s="466">
        <v>0</v>
      </c>
      <c r="G113" s="466">
        <v>0</v>
      </c>
      <c r="H113" s="466">
        <v>0</v>
      </c>
      <c r="I113" s="466">
        <v>0</v>
      </c>
      <c r="J113" s="466">
        <v>0</v>
      </c>
      <c r="K113" s="466">
        <v>0</v>
      </c>
      <c r="L113" s="466">
        <v>0</v>
      </c>
      <c r="M113" s="466">
        <v>0</v>
      </c>
      <c r="N113" s="466">
        <v>0</v>
      </c>
      <c r="O113" s="462" t="s">
        <v>413</v>
      </c>
    </row>
    <row r="114" spans="1:15" ht="15.75" thickBot="1" x14ac:dyDescent="0.3">
      <c r="D114" s="457" t="s">
        <v>419</v>
      </c>
      <c r="E114" s="466">
        <v>0</v>
      </c>
      <c r="F114" s="466">
        <v>0</v>
      </c>
      <c r="G114" s="466">
        <v>0</v>
      </c>
      <c r="H114" s="466">
        <v>0</v>
      </c>
      <c r="I114" s="466">
        <v>0</v>
      </c>
      <c r="J114" s="466">
        <v>0</v>
      </c>
      <c r="K114" s="466">
        <v>0</v>
      </c>
      <c r="L114" s="466">
        <v>0</v>
      </c>
      <c r="M114" s="466">
        <v>0</v>
      </c>
      <c r="N114" s="466">
        <v>0</v>
      </c>
      <c r="O114" s="462" t="s">
        <v>413</v>
      </c>
    </row>
    <row r="116" spans="1:15" ht="15.75" thickBot="1" x14ac:dyDescent="0.3"/>
    <row r="117" spans="1:15" ht="21.75" customHeight="1" thickBot="1" x14ac:dyDescent="0.3">
      <c r="E117" s="1229" t="s">
        <v>442</v>
      </c>
      <c r="F117" s="1265"/>
    </row>
    <row r="118" spans="1:15" ht="16.5" thickBot="1" x14ac:dyDescent="0.3">
      <c r="E118" s="467" t="s">
        <v>443</v>
      </c>
      <c r="F118" s="468" t="s">
        <v>444</v>
      </c>
    </row>
    <row r="119" spans="1:15" ht="30" customHeight="1" thickBot="1" x14ac:dyDescent="0.3">
      <c r="E119" s="469" t="s">
        <v>445</v>
      </c>
      <c r="F119" s="545">
        <v>0.13</v>
      </c>
      <c r="G119" s="470"/>
    </row>
    <row r="120" spans="1:15" ht="30" customHeight="1" thickBot="1" x14ac:dyDescent="0.3">
      <c r="E120" s="469" t="s">
        <v>446</v>
      </c>
      <c r="F120" s="545">
        <v>0.04</v>
      </c>
    </row>
    <row r="121" spans="1:15" ht="18.75" customHeight="1" thickBot="1" x14ac:dyDescent="0.3">
      <c r="E121" s="471" t="s">
        <v>447</v>
      </c>
      <c r="F121" s="472">
        <v>3.2000000000000001E-2</v>
      </c>
    </row>
    <row r="122" spans="1:15" ht="18.75" customHeight="1" thickBot="1" x14ac:dyDescent="0.3">
      <c r="E122" s="471" t="s">
        <v>448</v>
      </c>
      <c r="F122" s="472">
        <v>7.1999999999999995E-2</v>
      </c>
    </row>
    <row r="123" spans="1:15" ht="18.75" customHeight="1" thickBot="1" x14ac:dyDescent="0.3">
      <c r="E123" s="473" t="s">
        <v>644</v>
      </c>
      <c r="F123" s="474">
        <v>10.199999999999999</v>
      </c>
      <c r="G123" s="475" t="s">
        <v>728</v>
      </c>
    </row>
    <row r="124" spans="1:15" ht="18.75" customHeight="1" thickBot="1" x14ac:dyDescent="0.3">
      <c r="E124" s="473" t="s">
        <v>645</v>
      </c>
      <c r="F124" s="474">
        <v>22</v>
      </c>
      <c r="G124" s="475" t="s">
        <v>728</v>
      </c>
    </row>
    <row r="125" spans="1:15" x14ac:dyDescent="0.25">
      <c r="A125" s="476" t="s">
        <v>129</v>
      </c>
      <c r="B125" s="476" t="s">
        <v>129</v>
      </c>
    </row>
    <row r="126" spans="1:15" ht="23.25" x14ac:dyDescent="0.25">
      <c r="D126" s="477" t="s">
        <v>43</v>
      </c>
      <c r="E126" s="477"/>
      <c r="F126" s="477"/>
      <c r="G126" s="477"/>
      <c r="H126" s="477"/>
      <c r="I126" s="477"/>
      <c r="J126" s="477"/>
      <c r="K126" s="477"/>
      <c r="L126" s="477"/>
      <c r="M126" s="477"/>
      <c r="N126" s="477"/>
      <c r="O126" s="477"/>
    </row>
    <row r="127" spans="1:15" ht="15.75" thickBot="1" x14ac:dyDescent="0.3"/>
    <row r="128" spans="1:15" ht="21.75" customHeight="1" thickBot="1" x14ac:dyDescent="0.3">
      <c r="D128" s="1271" t="s">
        <v>77</v>
      </c>
      <c r="E128" s="1272"/>
      <c r="F128" s="1273"/>
    </row>
    <row r="129" spans="4:6" ht="15.75" x14ac:dyDescent="0.25">
      <c r="D129" s="1266" t="s">
        <v>73</v>
      </c>
      <c r="E129" s="1266" t="s">
        <v>74</v>
      </c>
      <c r="F129" s="610" t="s">
        <v>51</v>
      </c>
    </row>
    <row r="130" spans="4:6" ht="16.5" thickBot="1" x14ac:dyDescent="0.3">
      <c r="D130" s="1267"/>
      <c r="E130" s="1267"/>
      <c r="F130" s="611" t="s">
        <v>75</v>
      </c>
    </row>
    <row r="131" spans="4:6" x14ac:dyDescent="0.25">
      <c r="D131" s="1285" t="s">
        <v>76</v>
      </c>
      <c r="E131" s="624" t="s">
        <v>796</v>
      </c>
      <c r="F131" s="625">
        <v>41.854793431879997</v>
      </c>
    </row>
    <row r="132" spans="4:6" ht="15.75" thickBot="1" x14ac:dyDescent="0.3">
      <c r="D132" s="1286"/>
      <c r="E132" s="626" t="s">
        <v>797</v>
      </c>
      <c r="F132" s="616">
        <v>86.4</v>
      </c>
    </row>
    <row r="133" spans="4:6" ht="35.25" customHeight="1" thickBot="1" x14ac:dyDescent="0.3">
      <c r="D133" s="623" t="s">
        <v>794</v>
      </c>
      <c r="E133" s="615" t="s">
        <v>798</v>
      </c>
      <c r="F133" s="616">
        <v>15.614289602335566</v>
      </c>
    </row>
    <row r="134" spans="4:6" ht="26.25" thickBot="1" x14ac:dyDescent="0.3">
      <c r="D134" s="622" t="s">
        <v>795</v>
      </c>
      <c r="E134" s="617" t="s">
        <v>797</v>
      </c>
      <c r="F134" s="618">
        <v>18.681382202794339</v>
      </c>
    </row>
    <row r="135" spans="4:6" x14ac:dyDescent="0.25">
      <c r="D135" s="1262" t="s">
        <v>790</v>
      </c>
      <c r="E135" s="619" t="s">
        <v>796</v>
      </c>
      <c r="F135" s="614">
        <v>22.167260435196777</v>
      </c>
    </row>
    <row r="136" spans="4:6" ht="15.75" thickBot="1" x14ac:dyDescent="0.3">
      <c r="D136" s="1263"/>
      <c r="E136" s="620" t="s">
        <v>797</v>
      </c>
      <c r="F136" s="616">
        <v>32.685117718696617</v>
      </c>
    </row>
    <row r="137" spans="4:6" x14ac:dyDescent="0.25">
      <c r="D137" s="1264" t="s">
        <v>124</v>
      </c>
      <c r="E137" s="612" t="s">
        <v>796</v>
      </c>
      <c r="F137" s="613">
        <v>0.45085953427518866</v>
      </c>
    </row>
    <row r="138" spans="4:6" ht="15.75" thickBot="1" x14ac:dyDescent="0.3">
      <c r="D138" s="1263"/>
      <c r="E138" s="620" t="s">
        <v>797</v>
      </c>
      <c r="F138" s="616">
        <v>6.1673438613811191</v>
      </c>
    </row>
    <row r="139" spans="4:6" x14ac:dyDescent="0.25">
      <c r="D139" s="1264" t="s">
        <v>685</v>
      </c>
      <c r="E139" s="612" t="s">
        <v>796</v>
      </c>
      <c r="F139" s="613">
        <v>2.2542976713759435</v>
      </c>
    </row>
    <row r="140" spans="4:6" ht="15.75" thickBot="1" x14ac:dyDescent="0.3">
      <c r="D140" s="1263"/>
      <c r="E140" s="620" t="s">
        <v>797</v>
      </c>
      <c r="F140" s="616">
        <v>2.6412781468237165</v>
      </c>
    </row>
    <row r="141" spans="4:6" x14ac:dyDescent="0.25">
      <c r="D141" s="1264" t="s">
        <v>280</v>
      </c>
      <c r="E141" s="612" t="s">
        <v>796</v>
      </c>
      <c r="F141" s="613">
        <v>5.9363172012899836</v>
      </c>
    </row>
    <row r="142" spans="4:6" ht="15.75" thickBot="1" x14ac:dyDescent="0.3">
      <c r="D142" s="1263"/>
      <c r="E142" s="620" t="s">
        <v>797</v>
      </c>
      <c r="F142" s="616">
        <v>16.551117625985551</v>
      </c>
    </row>
    <row r="143" spans="4:6" x14ac:dyDescent="0.25">
      <c r="D143" s="621" t="s">
        <v>791</v>
      </c>
      <c r="E143" s="484"/>
      <c r="F143" s="485"/>
    </row>
    <row r="144" spans="4:6" x14ac:dyDescent="0.25">
      <c r="D144" s="485"/>
      <c r="E144" s="484"/>
      <c r="F144" s="485"/>
    </row>
    <row r="146" spans="2:7" ht="15.75" hidden="1" thickBot="1" x14ac:dyDescent="0.3"/>
    <row r="147" spans="2:7" ht="21.75" hidden="1" customHeight="1" x14ac:dyDescent="0.25">
      <c r="B147" s="393" t="s">
        <v>251</v>
      </c>
      <c r="D147" s="1268" t="s">
        <v>72</v>
      </c>
      <c r="E147" s="1269"/>
      <c r="F147" s="1269"/>
      <c r="G147" s="1270"/>
    </row>
    <row r="148" spans="2:7" ht="31.5" hidden="1" x14ac:dyDescent="0.25">
      <c r="D148" s="1281" t="s">
        <v>42</v>
      </c>
      <c r="E148" s="1282"/>
      <c r="F148" s="1277" t="s">
        <v>50</v>
      </c>
      <c r="G148" s="478" t="s">
        <v>51</v>
      </c>
    </row>
    <row r="149" spans="2:7" ht="16.5" hidden="1" thickBot="1" x14ac:dyDescent="0.3">
      <c r="D149" s="1283"/>
      <c r="E149" s="1284"/>
      <c r="F149" s="1278"/>
      <c r="G149" s="478" t="s">
        <v>52</v>
      </c>
    </row>
    <row r="150" spans="2:7" ht="15" hidden="1" customHeight="1" x14ac:dyDescent="0.25">
      <c r="B150" s="486" t="s">
        <v>89</v>
      </c>
      <c r="D150" s="1279">
        <v>1</v>
      </c>
      <c r="E150" s="1280" t="s">
        <v>53</v>
      </c>
      <c r="F150" s="479" t="s">
        <v>54</v>
      </c>
      <c r="G150" s="480">
        <v>270.8</v>
      </c>
    </row>
    <row r="151" spans="2:7" ht="15" hidden="1" customHeight="1" thickBot="1" x14ac:dyDescent="0.3">
      <c r="B151" s="487" t="s">
        <v>90</v>
      </c>
      <c r="D151" s="1259"/>
      <c r="E151" s="1261"/>
      <c r="F151" s="479" t="s">
        <v>55</v>
      </c>
      <c r="G151" s="483">
        <v>13.8</v>
      </c>
    </row>
    <row r="152" spans="2:7" ht="15" hidden="1" customHeight="1" x14ac:dyDescent="0.25">
      <c r="B152" s="486" t="s">
        <v>91</v>
      </c>
      <c r="D152" s="1258">
        <v>2</v>
      </c>
      <c r="E152" s="1260" t="s">
        <v>56</v>
      </c>
      <c r="F152" s="488" t="s">
        <v>54</v>
      </c>
      <c r="G152" s="480">
        <v>79.5</v>
      </c>
    </row>
    <row r="153" spans="2:7" ht="15" hidden="1" customHeight="1" thickBot="1" x14ac:dyDescent="0.3">
      <c r="B153" s="487" t="s">
        <v>92</v>
      </c>
      <c r="D153" s="1259"/>
      <c r="E153" s="1261"/>
      <c r="F153" s="479" t="s">
        <v>55</v>
      </c>
      <c r="G153" s="483">
        <v>4.5</v>
      </c>
    </row>
    <row r="154" spans="2:7" ht="15" hidden="1" customHeight="1" x14ac:dyDescent="0.25">
      <c r="B154" s="486" t="s">
        <v>93</v>
      </c>
      <c r="D154" s="1258">
        <v>3</v>
      </c>
      <c r="E154" s="1260" t="s">
        <v>57</v>
      </c>
      <c r="F154" s="488" t="s">
        <v>54</v>
      </c>
      <c r="G154" s="480">
        <v>71</v>
      </c>
    </row>
    <row r="155" spans="2:7" ht="15" hidden="1" customHeight="1" thickBot="1" x14ac:dyDescent="0.3">
      <c r="B155" s="487" t="s">
        <v>94</v>
      </c>
      <c r="D155" s="1259"/>
      <c r="E155" s="1261"/>
      <c r="F155" s="479" t="s">
        <v>55</v>
      </c>
      <c r="G155" s="483">
        <v>5.6</v>
      </c>
    </row>
    <row r="156" spans="2:7" ht="15" hidden="1" customHeight="1" x14ac:dyDescent="0.25">
      <c r="B156" s="486" t="s">
        <v>95</v>
      </c>
      <c r="D156" s="1258">
        <v>4</v>
      </c>
      <c r="E156" s="1260" t="s">
        <v>58</v>
      </c>
      <c r="F156" s="488" t="s">
        <v>54</v>
      </c>
      <c r="G156" s="480">
        <v>183</v>
      </c>
    </row>
    <row r="157" spans="2:7" ht="15" hidden="1" customHeight="1" thickBot="1" x14ac:dyDescent="0.3">
      <c r="B157" s="489" t="s">
        <v>96</v>
      </c>
      <c r="D157" s="1259"/>
      <c r="E157" s="1261"/>
      <c r="F157" s="481" t="s">
        <v>55</v>
      </c>
      <c r="G157" s="482">
        <v>5.3</v>
      </c>
    </row>
    <row r="158" spans="2:7" ht="15" hidden="1" customHeight="1" x14ac:dyDescent="0.25">
      <c r="B158" s="487" t="s">
        <v>97</v>
      </c>
      <c r="D158" s="1258">
        <v>5</v>
      </c>
      <c r="E158" s="1260" t="s">
        <v>59</v>
      </c>
      <c r="F158" s="479" t="s">
        <v>54</v>
      </c>
      <c r="G158" s="483">
        <v>181.2</v>
      </c>
    </row>
    <row r="159" spans="2:7" ht="15" hidden="1" customHeight="1" thickBot="1" x14ac:dyDescent="0.3">
      <c r="B159" s="487" t="s">
        <v>98</v>
      </c>
      <c r="D159" s="1259"/>
      <c r="E159" s="1261"/>
      <c r="F159" s="479" t="s">
        <v>55</v>
      </c>
      <c r="G159" s="483">
        <v>9.9</v>
      </c>
    </row>
    <row r="160" spans="2:7" ht="15" hidden="1" customHeight="1" x14ac:dyDescent="0.25">
      <c r="B160" s="486" t="s">
        <v>99</v>
      </c>
      <c r="D160" s="1258">
        <v>6</v>
      </c>
      <c r="E160" s="1260" t="s">
        <v>60</v>
      </c>
      <c r="F160" s="488" t="s">
        <v>54</v>
      </c>
      <c r="G160" s="480">
        <v>29.2</v>
      </c>
    </row>
    <row r="161" spans="2:7" ht="15" hidden="1" customHeight="1" thickBot="1" x14ac:dyDescent="0.3">
      <c r="B161" s="487" t="s">
        <v>100</v>
      </c>
      <c r="D161" s="1259"/>
      <c r="E161" s="1261"/>
      <c r="F161" s="479" t="s">
        <v>55</v>
      </c>
      <c r="G161" s="483">
        <v>1.3</v>
      </c>
    </row>
    <row r="162" spans="2:7" ht="15" hidden="1" customHeight="1" x14ac:dyDescent="0.25">
      <c r="B162" s="486" t="s">
        <v>101</v>
      </c>
      <c r="D162" s="1258">
        <v>7</v>
      </c>
      <c r="E162" s="1260" t="s">
        <v>61</v>
      </c>
      <c r="F162" s="488" t="s">
        <v>54</v>
      </c>
      <c r="G162" s="480">
        <v>113.6</v>
      </c>
    </row>
    <row r="163" spans="2:7" ht="15" hidden="1" customHeight="1" thickBot="1" x14ac:dyDescent="0.3">
      <c r="B163" s="487" t="s">
        <v>102</v>
      </c>
      <c r="D163" s="1259"/>
      <c r="E163" s="1261"/>
      <c r="F163" s="479" t="s">
        <v>55</v>
      </c>
      <c r="G163" s="483">
        <v>1.6</v>
      </c>
    </row>
    <row r="164" spans="2:7" ht="15" hidden="1" customHeight="1" x14ac:dyDescent="0.25">
      <c r="B164" s="486" t="s">
        <v>103</v>
      </c>
      <c r="D164" s="1258">
        <v>8</v>
      </c>
      <c r="E164" s="1260" t="s">
        <v>62</v>
      </c>
      <c r="F164" s="488" t="s">
        <v>54</v>
      </c>
      <c r="G164" s="480">
        <v>62.7</v>
      </c>
    </row>
    <row r="165" spans="2:7" ht="15" hidden="1" customHeight="1" thickBot="1" x14ac:dyDescent="0.3">
      <c r="B165" s="487" t="s">
        <v>104</v>
      </c>
      <c r="D165" s="1259"/>
      <c r="E165" s="1261"/>
      <c r="F165" s="479" t="s">
        <v>55</v>
      </c>
      <c r="G165" s="483">
        <v>3.4</v>
      </c>
    </row>
    <row r="166" spans="2:7" ht="15" hidden="1" customHeight="1" x14ac:dyDescent="0.25">
      <c r="B166" s="486" t="s">
        <v>105</v>
      </c>
      <c r="D166" s="1258">
        <v>9</v>
      </c>
      <c r="E166" s="1260" t="s">
        <v>63</v>
      </c>
      <c r="F166" s="488" t="s">
        <v>54</v>
      </c>
      <c r="G166" s="480">
        <v>25.2</v>
      </c>
    </row>
    <row r="167" spans="2:7" ht="15" hidden="1" customHeight="1" thickBot="1" x14ac:dyDescent="0.3">
      <c r="B167" s="487" t="s">
        <v>106</v>
      </c>
      <c r="D167" s="1259"/>
      <c r="E167" s="1261"/>
      <c r="F167" s="479" t="s">
        <v>55</v>
      </c>
      <c r="G167" s="483">
        <v>7.9</v>
      </c>
    </row>
    <row r="168" spans="2:7" ht="15" hidden="1" customHeight="1" x14ac:dyDescent="0.25">
      <c r="B168" s="486" t="s">
        <v>107</v>
      </c>
      <c r="D168" s="1258">
        <v>10</v>
      </c>
      <c r="E168" s="1260" t="s">
        <v>64</v>
      </c>
      <c r="F168" s="488" t="s">
        <v>54</v>
      </c>
      <c r="G168" s="480">
        <v>3.7</v>
      </c>
    </row>
    <row r="169" spans="2:7" ht="15" hidden="1" customHeight="1" thickBot="1" x14ac:dyDescent="0.3">
      <c r="B169" s="487" t="s">
        <v>108</v>
      </c>
      <c r="D169" s="1259"/>
      <c r="E169" s="1261"/>
      <c r="F169" s="479" t="s">
        <v>55</v>
      </c>
      <c r="G169" s="483">
        <v>0.6</v>
      </c>
    </row>
    <row r="170" spans="2:7" ht="15" hidden="1" customHeight="1" x14ac:dyDescent="0.25">
      <c r="B170" s="486" t="s">
        <v>109</v>
      </c>
      <c r="D170" s="1258">
        <v>11</v>
      </c>
      <c r="E170" s="1260" t="s">
        <v>65</v>
      </c>
      <c r="F170" s="488" t="s">
        <v>54</v>
      </c>
      <c r="G170" s="480">
        <v>13.3</v>
      </c>
    </row>
    <row r="171" spans="2:7" ht="15" hidden="1" customHeight="1" thickBot="1" x14ac:dyDescent="0.3">
      <c r="B171" s="487" t="s">
        <v>110</v>
      </c>
      <c r="D171" s="1259"/>
      <c r="E171" s="1261"/>
      <c r="F171" s="479" t="s">
        <v>55</v>
      </c>
      <c r="G171" s="483">
        <v>2.5</v>
      </c>
    </row>
    <row r="172" spans="2:7" ht="15" hidden="1" customHeight="1" x14ac:dyDescent="0.25">
      <c r="B172" s="486" t="s">
        <v>111</v>
      </c>
      <c r="D172" s="1258">
        <v>12</v>
      </c>
      <c r="E172" s="1260" t="s">
        <v>66</v>
      </c>
      <c r="F172" s="488" t="s">
        <v>54</v>
      </c>
      <c r="G172" s="480">
        <v>564</v>
      </c>
    </row>
    <row r="173" spans="2:7" ht="15" hidden="1" customHeight="1" thickBot="1" x14ac:dyDescent="0.3">
      <c r="B173" s="487" t="s">
        <v>112</v>
      </c>
      <c r="D173" s="1259"/>
      <c r="E173" s="1261"/>
      <c r="F173" s="479" t="s">
        <v>55</v>
      </c>
      <c r="G173" s="483">
        <v>9</v>
      </c>
    </row>
    <row r="174" spans="2:7" ht="15" hidden="1" customHeight="1" x14ac:dyDescent="0.25">
      <c r="B174" s="486" t="s">
        <v>113</v>
      </c>
      <c r="D174" s="1258">
        <v>13</v>
      </c>
      <c r="E174" s="1260" t="s">
        <v>67</v>
      </c>
      <c r="F174" s="488" t="s">
        <v>54</v>
      </c>
      <c r="G174" s="480">
        <v>56.5</v>
      </c>
    </row>
    <row r="175" spans="2:7" ht="15" hidden="1" customHeight="1" thickBot="1" x14ac:dyDescent="0.3">
      <c r="B175" s="487" t="s">
        <v>114</v>
      </c>
      <c r="D175" s="1259"/>
      <c r="E175" s="1261"/>
      <c r="F175" s="479" t="s">
        <v>55</v>
      </c>
      <c r="G175" s="483">
        <v>4.3</v>
      </c>
    </row>
    <row r="176" spans="2:7" ht="15" hidden="1" customHeight="1" x14ac:dyDescent="0.25">
      <c r="B176" s="486" t="s">
        <v>115</v>
      </c>
      <c r="D176" s="1258">
        <v>14</v>
      </c>
      <c r="E176" s="1260" t="s">
        <v>68</v>
      </c>
      <c r="F176" s="488" t="s">
        <v>54</v>
      </c>
      <c r="G176" s="480">
        <v>118.9</v>
      </c>
    </row>
    <row r="177" spans="2:7" ht="15" hidden="1" customHeight="1" thickBot="1" x14ac:dyDescent="0.3">
      <c r="B177" s="487" t="s">
        <v>116</v>
      </c>
      <c r="D177" s="1259"/>
      <c r="E177" s="1261"/>
      <c r="F177" s="479" t="s">
        <v>55</v>
      </c>
      <c r="G177" s="483">
        <v>6.4</v>
      </c>
    </row>
    <row r="178" spans="2:7" ht="15" hidden="1" customHeight="1" x14ac:dyDescent="0.25">
      <c r="B178" s="486" t="s">
        <v>117</v>
      </c>
      <c r="D178" s="1258">
        <v>15</v>
      </c>
      <c r="E178" s="1260" t="s">
        <v>69</v>
      </c>
      <c r="F178" s="488" t="s">
        <v>54</v>
      </c>
      <c r="G178" s="480">
        <v>94.6</v>
      </c>
    </row>
    <row r="179" spans="2:7" ht="15" hidden="1" customHeight="1" thickBot="1" x14ac:dyDescent="0.3">
      <c r="B179" s="487" t="s">
        <v>118</v>
      </c>
      <c r="D179" s="1259"/>
      <c r="E179" s="1261"/>
      <c r="F179" s="479" t="s">
        <v>55</v>
      </c>
      <c r="G179" s="483">
        <v>4</v>
      </c>
    </row>
    <row r="180" spans="2:7" ht="15" hidden="1" customHeight="1" x14ac:dyDescent="0.25">
      <c r="B180" s="486" t="s">
        <v>119</v>
      </c>
      <c r="D180" s="1258">
        <v>16</v>
      </c>
      <c r="E180" s="1260" t="s">
        <v>70</v>
      </c>
      <c r="F180" s="488" t="s">
        <v>54</v>
      </c>
      <c r="G180" s="480">
        <v>54</v>
      </c>
    </row>
    <row r="181" spans="2:7" ht="15" hidden="1" customHeight="1" thickBot="1" x14ac:dyDescent="0.3">
      <c r="B181" s="489" t="s">
        <v>120</v>
      </c>
      <c r="D181" s="1259"/>
      <c r="E181" s="1261"/>
      <c r="F181" s="481" t="s">
        <v>55</v>
      </c>
      <c r="G181" s="483">
        <v>4</v>
      </c>
    </row>
    <row r="182" spans="2:7" ht="15" hidden="1" customHeight="1" x14ac:dyDescent="0.25">
      <c r="B182" s="487" t="s">
        <v>121</v>
      </c>
      <c r="D182" s="1258">
        <v>17</v>
      </c>
      <c r="E182" s="1260" t="s">
        <v>71</v>
      </c>
      <c r="F182" s="479" t="s">
        <v>54</v>
      </c>
      <c r="G182" s="480">
        <v>363.1</v>
      </c>
    </row>
    <row r="183" spans="2:7" ht="15" hidden="1" customHeight="1" thickBot="1" x14ac:dyDescent="0.3">
      <c r="B183" s="489" t="s">
        <v>122</v>
      </c>
      <c r="D183" s="1259"/>
      <c r="E183" s="1261"/>
      <c r="F183" s="481" t="s">
        <v>55</v>
      </c>
      <c r="G183" s="482">
        <v>8.1</v>
      </c>
    </row>
    <row r="184" spans="2:7" hidden="1" x14ac:dyDescent="0.25"/>
    <row r="209" ht="15" customHeight="1" x14ac:dyDescent="0.25"/>
    <row r="210" ht="15" customHeight="1" x14ac:dyDescent="0.25"/>
    <row r="211" ht="15.75" customHeight="1" x14ac:dyDescent="0.25"/>
    <row r="212" ht="15" customHeight="1" x14ac:dyDescent="0.25"/>
    <row r="213" ht="15.75" customHeight="1" x14ac:dyDescent="0.25"/>
    <row r="214" ht="15" customHeight="1" x14ac:dyDescent="0.25"/>
    <row r="215" ht="15.75" customHeight="1" x14ac:dyDescent="0.25"/>
    <row r="216" ht="15" customHeight="1" x14ac:dyDescent="0.25"/>
    <row r="217" ht="15" customHeight="1" x14ac:dyDescent="0.25"/>
    <row r="218" ht="15.75" customHeight="1" x14ac:dyDescent="0.25"/>
    <row r="219" ht="15" customHeight="1" x14ac:dyDescent="0.25"/>
    <row r="220" ht="15.75" customHeight="1" x14ac:dyDescent="0.25"/>
    <row r="221" ht="15" customHeight="1" x14ac:dyDescent="0.25"/>
    <row r="222" ht="15.75" customHeight="1" x14ac:dyDescent="0.25"/>
    <row r="223" ht="15" customHeight="1" x14ac:dyDescent="0.25"/>
    <row r="224" ht="15.75" customHeight="1" x14ac:dyDescent="0.25"/>
    <row r="225" ht="15" customHeight="1" x14ac:dyDescent="0.25"/>
    <row r="226" ht="15" customHeight="1" x14ac:dyDescent="0.25"/>
    <row r="227" ht="15" customHeight="1" x14ac:dyDescent="0.25"/>
    <row r="228" ht="15.75" customHeight="1" x14ac:dyDescent="0.25"/>
    <row r="229" ht="15" customHeight="1" x14ac:dyDescent="0.25"/>
    <row r="230" ht="15.75" customHeight="1" x14ac:dyDescent="0.25"/>
    <row r="231" ht="15" customHeight="1" x14ac:dyDescent="0.25"/>
    <row r="232" ht="15.75" customHeight="1" x14ac:dyDescent="0.25"/>
    <row r="233" ht="15" customHeight="1" x14ac:dyDescent="0.25"/>
    <row r="234" ht="15.75" customHeight="1" x14ac:dyDescent="0.25"/>
    <row r="235" ht="15" customHeight="1" x14ac:dyDescent="0.25"/>
    <row r="236" ht="15.75" customHeight="1" x14ac:dyDescent="0.25"/>
    <row r="237" ht="15" customHeight="1" x14ac:dyDescent="0.25"/>
    <row r="238" ht="15.75" customHeight="1" x14ac:dyDescent="0.25"/>
    <row r="239" ht="15" customHeight="1" x14ac:dyDescent="0.25"/>
    <row r="240" ht="15.75" customHeight="1" x14ac:dyDescent="0.25"/>
    <row r="241" ht="15" customHeight="1" x14ac:dyDescent="0.25"/>
    <row r="242" ht="15.75" customHeight="1" x14ac:dyDescent="0.25"/>
    <row r="243" ht="15" customHeight="1" x14ac:dyDescent="0.25"/>
    <row r="244" ht="15.75" customHeight="1" x14ac:dyDescent="0.25"/>
    <row r="245" ht="15" customHeight="1" x14ac:dyDescent="0.25"/>
    <row r="246" ht="15.75" customHeight="1" x14ac:dyDescent="0.25"/>
    <row r="247" ht="15" customHeight="1" x14ac:dyDescent="0.25"/>
    <row r="248" ht="15.75" customHeight="1" x14ac:dyDescent="0.25"/>
    <row r="249" ht="15" customHeight="1" x14ac:dyDescent="0.25"/>
    <row r="250" ht="15.75" customHeight="1" x14ac:dyDescent="0.25"/>
  </sheetData>
  <mergeCells count="104">
    <mergeCell ref="D131:D132"/>
    <mergeCell ref="Q41:S41"/>
    <mergeCell ref="D10:F10"/>
    <mergeCell ref="D49:D50"/>
    <mergeCell ref="D56:H56"/>
    <mergeCell ref="I22:I23"/>
    <mergeCell ref="E32:G32"/>
    <mergeCell ref="D22:D23"/>
    <mergeCell ref="D24:H24"/>
    <mergeCell ref="E37:G37"/>
    <mergeCell ref="E38:G38"/>
    <mergeCell ref="E44:G44"/>
    <mergeCell ref="Q46:S46"/>
    <mergeCell ref="E22:H22"/>
    <mergeCell ref="D21:I21"/>
    <mergeCell ref="D29:I29"/>
    <mergeCell ref="D43:I43"/>
    <mergeCell ref="D48:I48"/>
    <mergeCell ref="E49:H49"/>
    <mergeCell ref="D51:I51"/>
    <mergeCell ref="Q32:U32"/>
    <mergeCell ref="D92:O92"/>
    <mergeCell ref="E40:G40"/>
    <mergeCell ref="E41:G41"/>
    <mergeCell ref="D182:D183"/>
    <mergeCell ref="E182:E183"/>
    <mergeCell ref="D172:D173"/>
    <mergeCell ref="E172:E173"/>
    <mergeCell ref="D174:D175"/>
    <mergeCell ref="E174:E175"/>
    <mergeCell ref="F148:F149"/>
    <mergeCell ref="D150:D151"/>
    <mergeCell ref="E150:E151"/>
    <mergeCell ref="D164:D165"/>
    <mergeCell ref="E164:E165"/>
    <mergeCell ref="D158:D159"/>
    <mergeCell ref="E158:E159"/>
    <mergeCell ref="D162:D163"/>
    <mergeCell ref="D154:D155"/>
    <mergeCell ref="E154:E155"/>
    <mergeCell ref="D148:E149"/>
    <mergeCell ref="D152:D153"/>
    <mergeCell ref="E152:E153"/>
    <mergeCell ref="D160:D161"/>
    <mergeCell ref="E160:E161"/>
    <mergeCell ref="D176:D177"/>
    <mergeCell ref="D180:D181"/>
    <mergeCell ref="E176:E177"/>
    <mergeCell ref="D178:D179"/>
    <mergeCell ref="L94:N94"/>
    <mergeCell ref="E180:E181"/>
    <mergeCell ref="D166:D167"/>
    <mergeCell ref="E166:E167"/>
    <mergeCell ref="D170:D171"/>
    <mergeCell ref="E170:E171"/>
    <mergeCell ref="E168:E169"/>
    <mergeCell ref="E178:E179"/>
    <mergeCell ref="D135:D136"/>
    <mergeCell ref="D137:D138"/>
    <mergeCell ref="D139:D140"/>
    <mergeCell ref="D105:O105"/>
    <mergeCell ref="E129:E130"/>
    <mergeCell ref="D147:G147"/>
    <mergeCell ref="D128:F128"/>
    <mergeCell ref="D168:D169"/>
    <mergeCell ref="D156:D157"/>
    <mergeCell ref="E156:E157"/>
    <mergeCell ref="E162:E163"/>
    <mergeCell ref="D141:D142"/>
    <mergeCell ref="D129:D130"/>
    <mergeCell ref="E117:F117"/>
    <mergeCell ref="D93:D95"/>
    <mergeCell ref="D96:O96"/>
    <mergeCell ref="D111:O111"/>
    <mergeCell ref="D106:O106"/>
    <mergeCell ref="D101:O101"/>
    <mergeCell ref="E72:G72"/>
    <mergeCell ref="E69:G69"/>
    <mergeCell ref="E68:G68"/>
    <mergeCell ref="E67:G67"/>
    <mergeCell ref="E71:G71"/>
    <mergeCell ref="D70:I70"/>
    <mergeCell ref="D2:E2"/>
    <mergeCell ref="E39:G39"/>
    <mergeCell ref="G2:H2"/>
    <mergeCell ref="H10:I10"/>
    <mergeCell ref="E93:N93"/>
    <mergeCell ref="O93:O95"/>
    <mergeCell ref="E94:I94"/>
    <mergeCell ref="J94:K94"/>
    <mergeCell ref="D78:F78"/>
    <mergeCell ref="D16:F16"/>
    <mergeCell ref="H79:I79"/>
    <mergeCell ref="H80:I80"/>
    <mergeCell ref="E33:G33"/>
    <mergeCell ref="E34:G34"/>
    <mergeCell ref="E35:G35"/>
    <mergeCell ref="E36:G36"/>
    <mergeCell ref="E66:G66"/>
    <mergeCell ref="I49:I50"/>
    <mergeCell ref="E42:G42"/>
    <mergeCell ref="H11:I11"/>
    <mergeCell ref="G5:H5"/>
    <mergeCell ref="D84:F84"/>
  </mergeCells>
  <phoneticPr fontId="26"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indexed="63"/>
  </sheetPr>
  <dimension ref="A1:V136"/>
  <sheetViews>
    <sheetView showGridLines="0" workbookViewId="0"/>
  </sheetViews>
  <sheetFormatPr baseColWidth="10" defaultColWidth="11.42578125" defaultRowHeight="15" x14ac:dyDescent="0.25"/>
  <cols>
    <col min="1" max="1" width="33" style="241" customWidth="1"/>
    <col min="2" max="2" width="11.42578125" style="241" customWidth="1"/>
    <col min="3" max="3" width="20.7109375" style="241" customWidth="1"/>
    <col min="4" max="4" width="11.42578125" style="241" customWidth="1"/>
    <col min="5" max="5" width="28.140625" style="241" customWidth="1"/>
    <col min="6" max="6" width="5.28515625" style="241" customWidth="1"/>
    <col min="7" max="7" width="28.28515625" style="241" customWidth="1"/>
    <col min="8" max="8" width="8.42578125" style="241" customWidth="1"/>
    <col min="9" max="9" width="20.42578125" style="241" customWidth="1"/>
    <col min="10" max="10" width="28.140625" style="241" customWidth="1"/>
    <col min="11" max="287" width="11.42578125" style="241" customWidth="1"/>
    <col min="288" max="16384" width="11.42578125" style="241"/>
  </cols>
  <sheetData>
    <row r="1" spans="1:22" ht="15.75" thickBot="1" x14ac:dyDescent="0.3"/>
    <row r="2" spans="1:22" ht="15.75" thickBot="1" x14ac:dyDescent="0.3">
      <c r="A2" s="241" t="s">
        <v>257</v>
      </c>
      <c r="G2" s="276" t="str">
        <f>"Version "&amp;Paramètres!$G$3</f>
        <v>Version 2022</v>
      </c>
    </row>
    <row r="3" spans="1:22" x14ac:dyDescent="0.25">
      <c r="A3" s="242" t="s">
        <v>254</v>
      </c>
    </row>
    <row r="5" spans="1:22" ht="15.75" thickBot="1" x14ac:dyDescent="0.3">
      <c r="S5" s="241" t="s">
        <v>267</v>
      </c>
    </row>
    <row r="6" spans="1:22" ht="45.75" thickBot="1" x14ac:dyDescent="0.3">
      <c r="A6" s="260" t="s">
        <v>78</v>
      </c>
      <c r="C6" s="261" t="s">
        <v>256</v>
      </c>
      <c r="E6" s="261" t="s">
        <v>339</v>
      </c>
      <c r="G6" s="261" t="s">
        <v>548</v>
      </c>
      <c r="I6" s="261" t="s">
        <v>564</v>
      </c>
      <c r="M6" s="243" t="s">
        <v>303</v>
      </c>
      <c r="P6" s="244" t="s">
        <v>302</v>
      </c>
      <c r="S6" s="223" t="s">
        <v>43</v>
      </c>
      <c r="U6" s="241" t="s">
        <v>268</v>
      </c>
      <c r="V6" s="224" t="s">
        <v>250</v>
      </c>
    </row>
    <row r="7" spans="1:22" ht="21" customHeight="1" x14ac:dyDescent="0.25">
      <c r="A7" s="245" t="s">
        <v>48</v>
      </c>
      <c r="C7" s="245" t="s">
        <v>48</v>
      </c>
      <c r="E7" s="245" t="s">
        <v>255</v>
      </c>
      <c r="G7" s="245" t="s">
        <v>550</v>
      </c>
      <c r="I7" s="245" t="s">
        <v>123</v>
      </c>
      <c r="M7" s="246" t="s">
        <v>304</v>
      </c>
      <c r="P7" s="246" t="s">
        <v>297</v>
      </c>
      <c r="S7" s="225" t="s">
        <v>258</v>
      </c>
      <c r="U7" s="241" t="s">
        <v>269</v>
      </c>
      <c r="V7" s="226" t="s">
        <v>270</v>
      </c>
    </row>
    <row r="8" spans="1:22" ht="24" thickBot="1" x14ac:dyDescent="0.3">
      <c r="A8" s="247" t="s">
        <v>49</v>
      </c>
      <c r="C8" s="248" t="s">
        <v>49</v>
      </c>
      <c r="E8" s="247" t="s">
        <v>340</v>
      </c>
      <c r="G8" s="248" t="s">
        <v>549</v>
      </c>
      <c r="I8" s="247" t="s">
        <v>463</v>
      </c>
      <c r="M8" s="249" t="s">
        <v>305</v>
      </c>
      <c r="P8" s="250" t="s">
        <v>298</v>
      </c>
      <c r="S8" s="227" t="s">
        <v>125</v>
      </c>
    </row>
    <row r="9" spans="1:22" ht="30.75" thickBot="1" x14ac:dyDescent="0.3">
      <c r="C9" s="251" t="s">
        <v>314</v>
      </c>
      <c r="G9" s="251" t="s">
        <v>554</v>
      </c>
      <c r="P9" s="249" t="s">
        <v>299</v>
      </c>
      <c r="S9" s="228" t="s">
        <v>259</v>
      </c>
    </row>
    <row r="10" spans="1:22" x14ac:dyDescent="0.25">
      <c r="S10" s="229" t="s">
        <v>260</v>
      </c>
    </row>
    <row r="11" spans="1:22" ht="15.75" thickBot="1" x14ac:dyDescent="0.3">
      <c r="G11" s="241" t="str">
        <f>CONCATENATE(G7,G8)</f>
        <v>AucuneCollecte des résidus verts (RV)</v>
      </c>
      <c r="S11" s="230" t="s">
        <v>290</v>
      </c>
    </row>
    <row r="12" spans="1:22" ht="16.5" thickTop="1" thickBot="1" x14ac:dyDescent="0.3">
      <c r="A12" s="263" t="s">
        <v>249</v>
      </c>
      <c r="B12" s="264"/>
      <c r="D12" s="262" t="s">
        <v>289</v>
      </c>
      <c r="S12" s="231" t="s">
        <v>261</v>
      </c>
    </row>
    <row r="13" spans="1:22" x14ac:dyDescent="0.25">
      <c r="A13" s="252" t="s">
        <v>62</v>
      </c>
      <c r="B13" s="253" t="s">
        <v>238</v>
      </c>
      <c r="D13" s="250">
        <v>2006</v>
      </c>
      <c r="S13" s="218" t="s">
        <v>323</v>
      </c>
    </row>
    <row r="14" spans="1:22" x14ac:dyDescent="0.25">
      <c r="A14" s="252" t="s">
        <v>53</v>
      </c>
      <c r="B14" s="253" t="s">
        <v>231</v>
      </c>
      <c r="D14" s="250">
        <v>2007</v>
      </c>
      <c r="S14" s="176" t="s">
        <v>325</v>
      </c>
    </row>
    <row r="15" spans="1:22" x14ac:dyDescent="0.25">
      <c r="A15" s="252" t="s">
        <v>57</v>
      </c>
      <c r="B15" s="253" t="s">
        <v>233</v>
      </c>
      <c r="D15" s="250">
        <v>2008</v>
      </c>
      <c r="S15" s="232" t="s">
        <v>262</v>
      </c>
    </row>
    <row r="16" spans="1:22" ht="15.75" x14ac:dyDescent="0.25">
      <c r="A16" s="252" t="s">
        <v>71</v>
      </c>
      <c r="B16" s="253" t="s">
        <v>247</v>
      </c>
      <c r="D16" s="250">
        <v>2009</v>
      </c>
      <c r="S16" s="84" t="s">
        <v>324</v>
      </c>
    </row>
    <row r="17" spans="1:21" x14ac:dyDescent="0.25">
      <c r="A17" s="252" t="s">
        <v>66</v>
      </c>
      <c r="B17" s="253" t="s">
        <v>242</v>
      </c>
      <c r="D17" s="250">
        <v>2010</v>
      </c>
      <c r="S17" s="233" t="s">
        <v>263</v>
      </c>
    </row>
    <row r="18" spans="1:21" ht="15.75" x14ac:dyDescent="0.25">
      <c r="A18" s="252" t="s">
        <v>63</v>
      </c>
      <c r="B18" s="253" t="s">
        <v>239</v>
      </c>
      <c r="D18" s="250">
        <v>2011</v>
      </c>
      <c r="S18" s="234" t="s">
        <v>271</v>
      </c>
    </row>
    <row r="19" spans="1:21" x14ac:dyDescent="0.25">
      <c r="A19" s="252" t="s">
        <v>59</v>
      </c>
      <c r="B19" s="253" t="s">
        <v>235</v>
      </c>
      <c r="D19" s="250">
        <v>2012</v>
      </c>
      <c r="S19" s="235" t="s">
        <v>272</v>
      </c>
    </row>
    <row r="20" spans="1:21" x14ac:dyDescent="0.25">
      <c r="A20" s="252" t="s">
        <v>65</v>
      </c>
      <c r="B20" s="253" t="s">
        <v>241</v>
      </c>
      <c r="D20" s="250">
        <v>2013</v>
      </c>
      <c r="S20" s="236" t="s">
        <v>273</v>
      </c>
    </row>
    <row r="21" spans="1:21" ht="15.75" x14ac:dyDescent="0.25">
      <c r="A21" s="252" t="s">
        <v>68</v>
      </c>
      <c r="B21" s="253" t="s">
        <v>244</v>
      </c>
      <c r="D21" s="250">
        <v>2014</v>
      </c>
      <c r="S21" s="237" t="s">
        <v>264</v>
      </c>
    </row>
    <row r="22" spans="1:21" x14ac:dyDescent="0.25">
      <c r="A22" s="252" t="s">
        <v>69</v>
      </c>
      <c r="B22" s="253" t="s">
        <v>245</v>
      </c>
      <c r="D22" s="250">
        <v>2015</v>
      </c>
      <c r="S22" s="238" t="s">
        <v>265</v>
      </c>
    </row>
    <row r="23" spans="1:21" x14ac:dyDescent="0.25">
      <c r="A23" s="252" t="s">
        <v>67</v>
      </c>
      <c r="B23" s="253" t="s">
        <v>243</v>
      </c>
      <c r="D23" s="250">
        <v>2016</v>
      </c>
      <c r="S23" s="239" t="s">
        <v>266</v>
      </c>
    </row>
    <row r="24" spans="1:21" ht="15.75" thickBot="1" x14ac:dyDescent="0.3">
      <c r="A24" s="252" t="s">
        <v>58</v>
      </c>
      <c r="B24" s="253" t="s">
        <v>234</v>
      </c>
      <c r="D24" s="250">
        <v>2017</v>
      </c>
      <c r="S24" s="240" t="s">
        <v>291</v>
      </c>
    </row>
    <row r="25" spans="1:21" ht="19.5" thickBot="1" x14ac:dyDescent="0.3">
      <c r="A25" s="252" t="s">
        <v>70</v>
      </c>
      <c r="B25" s="253" t="s">
        <v>246</v>
      </c>
      <c r="D25" s="250">
        <v>2018</v>
      </c>
      <c r="S25" s="324" t="s">
        <v>649</v>
      </c>
    </row>
    <row r="26" spans="1:21" ht="24" customHeight="1" x14ac:dyDescent="0.25">
      <c r="A26" s="252" t="s">
        <v>60</v>
      </c>
      <c r="B26" s="253" t="s">
        <v>236</v>
      </c>
      <c r="D26" s="250">
        <v>2019</v>
      </c>
      <c r="S26" s="392" t="s">
        <v>667</v>
      </c>
    </row>
    <row r="27" spans="1:21" ht="15.75" thickBot="1" x14ac:dyDescent="0.3">
      <c r="A27" s="252" t="s">
        <v>64</v>
      </c>
      <c r="B27" s="253" t="s">
        <v>240</v>
      </c>
      <c r="D27" s="249">
        <v>2020</v>
      </c>
    </row>
    <row r="28" spans="1:21" x14ac:dyDescent="0.25">
      <c r="A28" s="252" t="s">
        <v>61</v>
      </c>
      <c r="B28" s="253" t="s">
        <v>237</v>
      </c>
    </row>
    <row r="29" spans="1:21" ht="15.75" thickBot="1" x14ac:dyDescent="0.3">
      <c r="A29" s="254" t="s">
        <v>56</v>
      </c>
      <c r="B29" s="255" t="s">
        <v>232</v>
      </c>
    </row>
    <row r="30" spans="1:21" ht="15.75" thickBot="1" x14ac:dyDescent="0.3"/>
    <row r="31" spans="1:21" ht="16.5" thickBot="1" x14ac:dyDescent="0.3">
      <c r="E31" s="296" t="s">
        <v>392</v>
      </c>
      <c r="F31" s="1310" t="s">
        <v>393</v>
      </c>
      <c r="G31" s="1310"/>
      <c r="H31" s="1310"/>
      <c r="I31" s="297"/>
      <c r="J31" s="297"/>
      <c r="K31" s="297"/>
      <c r="L31" s="297"/>
      <c r="M31" s="297"/>
      <c r="N31" s="297"/>
      <c r="O31" s="297"/>
      <c r="P31" s="297"/>
      <c r="Q31" s="297"/>
      <c r="R31" s="297"/>
      <c r="S31" s="297"/>
      <c r="T31" s="297"/>
      <c r="U31" s="264"/>
    </row>
    <row r="32" spans="1:21" ht="15.75" thickBot="1" x14ac:dyDescent="0.3">
      <c r="A32" s="263" t="s">
        <v>248</v>
      </c>
      <c r="B32" s="266" t="s">
        <v>252</v>
      </c>
      <c r="C32" s="267" t="s">
        <v>253</v>
      </c>
      <c r="E32" s="292" t="s">
        <v>308</v>
      </c>
      <c r="F32" s="293" t="s">
        <v>341</v>
      </c>
      <c r="G32" s="293"/>
      <c r="H32" s="293"/>
      <c r="I32" s="293"/>
      <c r="J32" s="293"/>
      <c r="K32" s="293"/>
      <c r="L32" s="293"/>
      <c r="M32" s="293"/>
      <c r="N32" s="293"/>
      <c r="O32" s="293"/>
      <c r="P32" s="293"/>
      <c r="Q32" s="293"/>
      <c r="R32" s="293"/>
      <c r="S32" s="293"/>
      <c r="T32" s="293"/>
      <c r="U32" s="294"/>
    </row>
    <row r="33" spans="1:21" x14ac:dyDescent="0.25">
      <c r="A33" s="256" t="s">
        <v>168</v>
      </c>
      <c r="B33" s="257" t="s">
        <v>238</v>
      </c>
      <c r="C33" s="253">
        <v>40</v>
      </c>
      <c r="E33" s="252" t="s">
        <v>309</v>
      </c>
      <c r="F33" s="241" t="s">
        <v>342</v>
      </c>
      <c r="U33" s="253"/>
    </row>
    <row r="34" spans="1:21" x14ac:dyDescent="0.25">
      <c r="A34" s="256" t="s">
        <v>169</v>
      </c>
      <c r="B34" s="257" t="s">
        <v>238</v>
      </c>
      <c r="C34" s="253">
        <v>41</v>
      </c>
      <c r="E34" s="252"/>
      <c r="U34" s="253"/>
    </row>
    <row r="35" spans="1:21" x14ac:dyDescent="0.25">
      <c r="A35" s="256" t="s">
        <v>211</v>
      </c>
      <c r="B35" s="257" t="s">
        <v>246</v>
      </c>
      <c r="C35" s="253">
        <v>85</v>
      </c>
      <c r="E35" s="252" t="s">
        <v>327</v>
      </c>
      <c r="F35" s="241" t="s">
        <v>690</v>
      </c>
      <c r="U35" s="253"/>
    </row>
    <row r="36" spans="1:21" x14ac:dyDescent="0.25">
      <c r="A36" s="256" t="s">
        <v>203</v>
      </c>
      <c r="B36" s="257" t="s">
        <v>245</v>
      </c>
      <c r="C36" s="253">
        <v>77</v>
      </c>
      <c r="E36" s="252" t="s">
        <v>328</v>
      </c>
      <c r="F36" s="241" t="s">
        <v>362</v>
      </c>
      <c r="U36" s="253"/>
    </row>
    <row r="37" spans="1:21" x14ac:dyDescent="0.25">
      <c r="A37" s="256" t="s">
        <v>204</v>
      </c>
      <c r="B37" s="257" t="s">
        <v>245</v>
      </c>
      <c r="C37" s="253">
        <v>78</v>
      </c>
      <c r="E37" s="252" t="s">
        <v>312</v>
      </c>
      <c r="F37" s="241" t="s">
        <v>312</v>
      </c>
      <c r="U37" s="253"/>
    </row>
    <row r="38" spans="1:21" x14ac:dyDescent="0.25">
      <c r="A38" s="256" t="s">
        <v>226</v>
      </c>
      <c r="B38" s="257" t="s">
        <v>247</v>
      </c>
      <c r="C38" s="253">
        <v>100</v>
      </c>
      <c r="E38" s="252" t="s">
        <v>313</v>
      </c>
      <c r="F38" s="241" t="s">
        <v>313</v>
      </c>
      <c r="U38" s="253"/>
    </row>
    <row r="39" spans="1:21" x14ac:dyDescent="0.25">
      <c r="A39" s="256" t="s">
        <v>181</v>
      </c>
      <c r="B39" s="257" t="s">
        <v>241</v>
      </c>
      <c r="C39" s="253">
        <v>54</v>
      </c>
      <c r="E39" s="252" t="s">
        <v>315</v>
      </c>
      <c r="F39" s="241" t="s">
        <v>691</v>
      </c>
      <c r="U39" s="253"/>
    </row>
    <row r="40" spans="1:21" x14ac:dyDescent="0.25">
      <c r="A40" s="256" t="s">
        <v>187</v>
      </c>
      <c r="B40" s="257" t="s">
        <v>242</v>
      </c>
      <c r="C40" s="253">
        <v>60</v>
      </c>
      <c r="E40" s="252" t="s">
        <v>347</v>
      </c>
      <c r="F40" s="241" t="s">
        <v>686</v>
      </c>
      <c r="U40" s="253"/>
    </row>
    <row r="41" spans="1:21" x14ac:dyDescent="0.25">
      <c r="A41" s="256" t="s">
        <v>212</v>
      </c>
      <c r="B41" s="257" t="s">
        <v>246</v>
      </c>
      <c r="C41" s="253">
        <v>86</v>
      </c>
      <c r="E41" s="252" t="s">
        <v>348</v>
      </c>
      <c r="U41" s="253"/>
    </row>
    <row r="42" spans="1:21" x14ac:dyDescent="0.25">
      <c r="A42" s="256" t="s">
        <v>227</v>
      </c>
      <c r="B42" s="257" t="s">
        <v>247</v>
      </c>
      <c r="C42" s="253">
        <v>101</v>
      </c>
      <c r="E42" s="252" t="s">
        <v>349</v>
      </c>
      <c r="U42" s="253"/>
    </row>
    <row r="43" spans="1:21" x14ac:dyDescent="0.25">
      <c r="A43" s="256" t="s">
        <v>188</v>
      </c>
      <c r="B43" s="257" t="s">
        <v>242</v>
      </c>
      <c r="C43" s="253">
        <v>61</v>
      </c>
      <c r="E43" s="252" t="s">
        <v>316</v>
      </c>
      <c r="F43" s="241" t="s">
        <v>320</v>
      </c>
      <c r="U43" s="253"/>
    </row>
    <row r="44" spans="1:21" x14ac:dyDescent="0.25">
      <c r="A44" s="256" t="s">
        <v>182</v>
      </c>
      <c r="B44" s="257" t="s">
        <v>241</v>
      </c>
      <c r="C44" s="253">
        <v>55</v>
      </c>
      <c r="E44" s="252" t="s">
        <v>317</v>
      </c>
      <c r="F44" s="241" t="s">
        <v>321</v>
      </c>
      <c r="U44" s="253"/>
    </row>
    <row r="45" spans="1:21" ht="15" customHeight="1" x14ac:dyDescent="0.25">
      <c r="A45" s="256" t="s">
        <v>213</v>
      </c>
      <c r="B45" s="257" t="s">
        <v>246</v>
      </c>
      <c r="C45" s="253">
        <v>87</v>
      </c>
      <c r="E45" s="252" t="s">
        <v>318</v>
      </c>
      <c r="F45" s="265" t="s">
        <v>319</v>
      </c>
      <c r="U45" s="253"/>
    </row>
    <row r="46" spans="1:21" x14ac:dyDescent="0.25">
      <c r="A46" s="256" t="s">
        <v>173</v>
      </c>
      <c r="B46" s="257" t="s">
        <v>239</v>
      </c>
      <c r="C46" s="253">
        <v>45</v>
      </c>
      <c r="E46" s="252"/>
      <c r="U46" s="253"/>
    </row>
    <row r="47" spans="1:21" x14ac:dyDescent="0.25">
      <c r="A47" s="256" t="s">
        <v>143</v>
      </c>
      <c r="B47" s="257" t="s">
        <v>233</v>
      </c>
      <c r="C47" s="253">
        <v>14</v>
      </c>
      <c r="E47" s="252" t="s">
        <v>329</v>
      </c>
      <c r="F47" s="241" t="s">
        <v>255</v>
      </c>
      <c r="U47" s="253"/>
    </row>
    <row r="48" spans="1:21" x14ac:dyDescent="0.25">
      <c r="A48" s="256" t="s">
        <v>144</v>
      </c>
      <c r="B48" s="257" t="s">
        <v>233</v>
      </c>
      <c r="C48" s="253">
        <v>15</v>
      </c>
      <c r="E48" s="252" t="s">
        <v>330</v>
      </c>
      <c r="F48" s="241" t="s">
        <v>310</v>
      </c>
      <c r="U48" s="253"/>
    </row>
    <row r="49" spans="1:21" x14ac:dyDescent="0.25">
      <c r="A49" s="256" t="s">
        <v>156</v>
      </c>
      <c r="B49" s="257" t="s">
        <v>235</v>
      </c>
      <c r="C49" s="253">
        <v>27</v>
      </c>
      <c r="E49" s="252"/>
      <c r="U49" s="253"/>
    </row>
    <row r="50" spans="1:21" x14ac:dyDescent="0.25">
      <c r="A50" s="256" t="s">
        <v>197</v>
      </c>
      <c r="B50" s="257" t="s">
        <v>244</v>
      </c>
      <c r="C50" s="253">
        <v>71</v>
      </c>
      <c r="E50" s="252" t="s">
        <v>331</v>
      </c>
      <c r="F50" s="241" t="s">
        <v>689</v>
      </c>
      <c r="U50" s="253"/>
    </row>
    <row r="51" spans="1:21" x14ac:dyDescent="0.25">
      <c r="A51" s="256" t="s">
        <v>205</v>
      </c>
      <c r="B51" s="257" t="s">
        <v>245</v>
      </c>
      <c r="C51" s="253">
        <v>79</v>
      </c>
      <c r="E51" s="252"/>
      <c r="U51" s="253"/>
    </row>
    <row r="52" spans="1:21" x14ac:dyDescent="0.25">
      <c r="A52" s="256" t="s">
        <v>228</v>
      </c>
      <c r="B52" s="257" t="s">
        <v>247</v>
      </c>
      <c r="C52" s="253">
        <v>102</v>
      </c>
      <c r="E52" s="252" t="s">
        <v>344</v>
      </c>
      <c r="F52" s="241" t="s">
        <v>634</v>
      </c>
      <c r="U52" s="253"/>
    </row>
    <row r="53" spans="1:21" x14ac:dyDescent="0.25">
      <c r="A53" s="576" t="s">
        <v>758</v>
      </c>
      <c r="B53" s="257" t="s">
        <v>240</v>
      </c>
      <c r="C53" s="253">
        <v>51</v>
      </c>
      <c r="E53" s="252" t="s">
        <v>343</v>
      </c>
      <c r="F53" s="241" t="s">
        <v>669</v>
      </c>
      <c r="U53" s="253"/>
    </row>
    <row r="54" spans="1:21" x14ac:dyDescent="0.25">
      <c r="A54" s="256" t="s">
        <v>163</v>
      </c>
      <c r="B54" s="257" t="s">
        <v>237</v>
      </c>
      <c r="C54" s="253">
        <v>35</v>
      </c>
      <c r="E54" s="252"/>
      <c r="U54" s="253"/>
    </row>
    <row r="55" spans="1:21" x14ac:dyDescent="0.25">
      <c r="A55" s="256" t="s">
        <v>179</v>
      </c>
      <c r="B55" s="257" t="s">
        <v>240</v>
      </c>
      <c r="C55" s="253">
        <v>52</v>
      </c>
      <c r="E55" s="252" t="s">
        <v>358</v>
      </c>
      <c r="F55" s="241" t="s">
        <v>359</v>
      </c>
      <c r="U55" s="253"/>
    </row>
    <row r="56" spans="1:21" x14ac:dyDescent="0.25">
      <c r="A56" s="256" t="s">
        <v>198</v>
      </c>
      <c r="B56" s="257" t="s">
        <v>244</v>
      </c>
      <c r="C56" s="253">
        <v>72</v>
      </c>
      <c r="E56" s="252" t="s">
        <v>360</v>
      </c>
      <c r="F56" s="241" t="s">
        <v>361</v>
      </c>
      <c r="U56" s="253"/>
    </row>
    <row r="57" spans="1:21" x14ac:dyDescent="0.25">
      <c r="A57" s="256" t="s">
        <v>130</v>
      </c>
      <c r="B57" s="257" t="s">
        <v>231</v>
      </c>
      <c r="C57" s="253">
        <v>1</v>
      </c>
      <c r="E57" s="252"/>
      <c r="U57" s="253"/>
    </row>
    <row r="58" spans="1:21" x14ac:dyDescent="0.25">
      <c r="A58" s="256" t="s">
        <v>180</v>
      </c>
      <c r="B58" s="257" t="s">
        <v>240</v>
      </c>
      <c r="C58" s="253">
        <v>53</v>
      </c>
      <c r="E58" s="252" t="s">
        <v>364</v>
      </c>
      <c r="F58" s="59" t="s">
        <v>363</v>
      </c>
      <c r="U58" s="253"/>
    </row>
    <row r="59" spans="1:21" x14ac:dyDescent="0.25">
      <c r="A59" s="256" t="s">
        <v>145</v>
      </c>
      <c r="B59" s="257" t="s">
        <v>233</v>
      </c>
      <c r="C59" s="253">
        <v>16</v>
      </c>
      <c r="E59" s="252" t="s">
        <v>630</v>
      </c>
      <c r="F59" s="241" t="s">
        <v>632</v>
      </c>
      <c r="U59" s="253"/>
    </row>
    <row r="60" spans="1:21" ht="15.75" thickBot="1" x14ac:dyDescent="0.3">
      <c r="A60" s="256" t="s">
        <v>183</v>
      </c>
      <c r="B60" s="257" t="s">
        <v>241</v>
      </c>
      <c r="C60" s="253">
        <v>56</v>
      </c>
      <c r="E60" s="254" t="s">
        <v>631</v>
      </c>
      <c r="F60" s="295" t="s">
        <v>700</v>
      </c>
      <c r="G60" s="295"/>
      <c r="H60" s="295"/>
      <c r="I60" s="295"/>
      <c r="J60" s="295"/>
      <c r="K60" s="295"/>
      <c r="L60" s="295"/>
      <c r="M60" s="295"/>
      <c r="N60" s="295"/>
      <c r="O60" s="295"/>
      <c r="P60" s="295"/>
      <c r="Q60" s="295"/>
      <c r="R60" s="295"/>
      <c r="S60" s="295"/>
      <c r="T60" s="295"/>
      <c r="U60" s="255"/>
    </row>
    <row r="61" spans="1:21" x14ac:dyDescent="0.25">
      <c r="A61" s="256" t="s">
        <v>174</v>
      </c>
      <c r="B61" s="257" t="s">
        <v>239</v>
      </c>
      <c r="C61" s="253">
        <v>46</v>
      </c>
    </row>
    <row r="62" spans="1:21" x14ac:dyDescent="0.25">
      <c r="A62" s="256" t="s">
        <v>184</v>
      </c>
      <c r="B62" s="257" t="s">
        <v>241</v>
      </c>
      <c r="C62" s="253">
        <v>57</v>
      </c>
    </row>
    <row r="63" spans="1:21" x14ac:dyDescent="0.25">
      <c r="A63" s="256" t="s">
        <v>214</v>
      </c>
      <c r="B63" s="257" t="s">
        <v>246</v>
      </c>
      <c r="C63" s="253">
        <v>88</v>
      </c>
    </row>
    <row r="64" spans="1:21" x14ac:dyDescent="0.25">
      <c r="A64" s="256" t="s">
        <v>146</v>
      </c>
      <c r="B64" s="257" t="s">
        <v>233</v>
      </c>
      <c r="C64" s="253">
        <v>17</v>
      </c>
    </row>
    <row r="65" spans="1:3" x14ac:dyDescent="0.25">
      <c r="A65" s="256" t="s">
        <v>131</v>
      </c>
      <c r="B65" s="257" t="s">
        <v>231</v>
      </c>
      <c r="C65" s="253">
        <v>2</v>
      </c>
    </row>
    <row r="66" spans="1:3" x14ac:dyDescent="0.25">
      <c r="A66" s="256" t="s">
        <v>132</v>
      </c>
      <c r="B66" s="257" t="s">
        <v>231</v>
      </c>
      <c r="C66" s="253">
        <v>3</v>
      </c>
    </row>
    <row r="67" spans="1:3" x14ac:dyDescent="0.25">
      <c r="A67" s="256" t="s">
        <v>189</v>
      </c>
      <c r="B67" s="257" t="s">
        <v>242</v>
      </c>
      <c r="C67" s="253">
        <v>62</v>
      </c>
    </row>
    <row r="68" spans="1:3" x14ac:dyDescent="0.25">
      <c r="A68" s="256" t="s">
        <v>206</v>
      </c>
      <c r="B68" s="257" t="s">
        <v>245</v>
      </c>
      <c r="C68" s="253">
        <v>80</v>
      </c>
    </row>
    <row r="69" spans="1:3" x14ac:dyDescent="0.25">
      <c r="A69" s="256" t="s">
        <v>150</v>
      </c>
      <c r="B69" s="257" t="s">
        <v>234</v>
      </c>
      <c r="C69" s="253">
        <v>21</v>
      </c>
    </row>
    <row r="70" spans="1:3" x14ac:dyDescent="0.25">
      <c r="A70" s="256" t="s">
        <v>164</v>
      </c>
      <c r="B70" s="257" t="s">
        <v>237</v>
      </c>
      <c r="C70" s="253">
        <v>36</v>
      </c>
    </row>
    <row r="71" spans="1:3" x14ac:dyDescent="0.25">
      <c r="A71" s="256" t="s">
        <v>170</v>
      </c>
      <c r="B71" s="257" t="s">
        <v>238</v>
      </c>
      <c r="C71" s="253">
        <v>42</v>
      </c>
    </row>
    <row r="72" spans="1:3" x14ac:dyDescent="0.25">
      <c r="A72" s="256" t="s">
        <v>215</v>
      </c>
      <c r="B72" s="257" t="s">
        <v>246</v>
      </c>
      <c r="C72" s="253">
        <v>89</v>
      </c>
    </row>
    <row r="73" spans="1:3" x14ac:dyDescent="0.25">
      <c r="A73" s="256" t="s">
        <v>138</v>
      </c>
      <c r="B73" s="257" t="s">
        <v>232</v>
      </c>
      <c r="C73" s="253">
        <v>9</v>
      </c>
    </row>
    <row r="74" spans="1:3" x14ac:dyDescent="0.25">
      <c r="A74" s="256" t="s">
        <v>199</v>
      </c>
      <c r="B74" s="257" t="s">
        <v>244</v>
      </c>
      <c r="C74" s="253">
        <v>73</v>
      </c>
    </row>
    <row r="75" spans="1:3" x14ac:dyDescent="0.25">
      <c r="A75" s="256" t="s">
        <v>67</v>
      </c>
      <c r="B75" s="257" t="s">
        <v>243</v>
      </c>
      <c r="C75" s="253">
        <v>70</v>
      </c>
    </row>
    <row r="76" spans="1:3" x14ac:dyDescent="0.25">
      <c r="A76" s="256" t="s">
        <v>139</v>
      </c>
      <c r="B76" s="257" t="s">
        <v>232</v>
      </c>
      <c r="C76" s="253">
        <v>10</v>
      </c>
    </row>
    <row r="77" spans="1:3" x14ac:dyDescent="0.25">
      <c r="A77" s="256" t="s">
        <v>140</v>
      </c>
      <c r="B77" s="257" t="s">
        <v>232</v>
      </c>
      <c r="C77" s="253">
        <v>11</v>
      </c>
    </row>
    <row r="78" spans="1:3" x14ac:dyDescent="0.25">
      <c r="A78" s="256" t="s">
        <v>175</v>
      </c>
      <c r="B78" s="257" t="s">
        <v>239</v>
      </c>
      <c r="C78" s="253">
        <v>47</v>
      </c>
    </row>
    <row r="79" spans="1:3" x14ac:dyDescent="0.25">
      <c r="A79" s="256" t="s">
        <v>157</v>
      </c>
      <c r="B79" s="257" t="s">
        <v>235</v>
      </c>
      <c r="C79" s="253">
        <v>28</v>
      </c>
    </row>
    <row r="80" spans="1:3" x14ac:dyDescent="0.25">
      <c r="A80" s="256" t="s">
        <v>216</v>
      </c>
      <c r="B80" s="257" t="s">
        <v>246</v>
      </c>
      <c r="C80" s="253">
        <v>90</v>
      </c>
    </row>
    <row r="81" spans="1:3" x14ac:dyDescent="0.25">
      <c r="A81" s="256" t="s">
        <v>158</v>
      </c>
      <c r="B81" s="257" t="s">
        <v>235</v>
      </c>
      <c r="C81" s="253">
        <v>29</v>
      </c>
    </row>
    <row r="82" spans="1:3" x14ac:dyDescent="0.25">
      <c r="A82" s="256" t="s">
        <v>217</v>
      </c>
      <c r="B82" s="257" t="s">
        <v>246</v>
      </c>
      <c r="C82" s="253">
        <v>91</v>
      </c>
    </row>
    <row r="83" spans="1:3" x14ac:dyDescent="0.25">
      <c r="A83" s="256" t="s">
        <v>185</v>
      </c>
      <c r="B83" s="257" t="s">
        <v>241</v>
      </c>
      <c r="C83" s="253">
        <v>58</v>
      </c>
    </row>
    <row r="84" spans="1:3" x14ac:dyDescent="0.25">
      <c r="A84" s="256" t="s">
        <v>159</v>
      </c>
      <c r="B84" s="257" t="s">
        <v>235</v>
      </c>
      <c r="C84" s="253">
        <v>30</v>
      </c>
    </row>
    <row r="85" spans="1:3" x14ac:dyDescent="0.25">
      <c r="A85" s="256" t="s">
        <v>229</v>
      </c>
      <c r="B85" s="257" t="s">
        <v>247</v>
      </c>
      <c r="C85" s="253">
        <v>103</v>
      </c>
    </row>
    <row r="86" spans="1:3" x14ac:dyDescent="0.25">
      <c r="A86" s="256" t="s">
        <v>190</v>
      </c>
      <c r="B86" s="257" t="s">
        <v>242</v>
      </c>
      <c r="C86" s="253">
        <v>63</v>
      </c>
    </row>
    <row r="87" spans="1:3" x14ac:dyDescent="0.25">
      <c r="A87" s="256" t="s">
        <v>133</v>
      </c>
      <c r="B87" s="257" t="s">
        <v>231</v>
      </c>
      <c r="C87" s="253">
        <v>4</v>
      </c>
    </row>
    <row r="88" spans="1:3" x14ac:dyDescent="0.25">
      <c r="A88" s="256" t="s">
        <v>151</v>
      </c>
      <c r="B88" s="257" t="s">
        <v>234</v>
      </c>
      <c r="C88" s="253">
        <v>22</v>
      </c>
    </row>
    <row r="89" spans="1:3" x14ac:dyDescent="0.25">
      <c r="A89" s="256" t="s">
        <v>165</v>
      </c>
      <c r="B89" s="257" t="s">
        <v>237</v>
      </c>
      <c r="C89" s="253">
        <v>37</v>
      </c>
    </row>
    <row r="90" spans="1:3" x14ac:dyDescent="0.25">
      <c r="A90" s="256" t="s">
        <v>191</v>
      </c>
      <c r="B90" s="257" t="s">
        <v>242</v>
      </c>
      <c r="C90" s="253">
        <v>64</v>
      </c>
    </row>
    <row r="91" spans="1:3" x14ac:dyDescent="0.25">
      <c r="A91" s="256" t="s">
        <v>186</v>
      </c>
      <c r="B91" s="257" t="s">
        <v>241</v>
      </c>
      <c r="C91" s="253">
        <v>59</v>
      </c>
    </row>
    <row r="92" spans="1:3" x14ac:dyDescent="0.25">
      <c r="A92" s="256" t="s">
        <v>218</v>
      </c>
      <c r="B92" s="257" t="s">
        <v>246</v>
      </c>
      <c r="C92" s="253">
        <v>92</v>
      </c>
    </row>
    <row r="93" spans="1:3" x14ac:dyDescent="0.25">
      <c r="A93" s="256" t="s">
        <v>207</v>
      </c>
      <c r="B93" s="257" t="s">
        <v>245</v>
      </c>
      <c r="C93" s="253">
        <v>81</v>
      </c>
    </row>
    <row r="94" spans="1:3" x14ac:dyDescent="0.25">
      <c r="A94" s="256" t="s">
        <v>219</v>
      </c>
      <c r="B94" s="257" t="s">
        <v>246</v>
      </c>
      <c r="C94" s="253">
        <v>93</v>
      </c>
    </row>
    <row r="95" spans="1:3" x14ac:dyDescent="0.25">
      <c r="A95" s="256" t="s">
        <v>200</v>
      </c>
      <c r="B95" s="257" t="s">
        <v>244</v>
      </c>
      <c r="C95" s="253">
        <v>74</v>
      </c>
    </row>
    <row r="96" spans="1:3" x14ac:dyDescent="0.25">
      <c r="A96" s="256" t="s">
        <v>208</v>
      </c>
      <c r="B96" s="257" t="s">
        <v>245</v>
      </c>
      <c r="C96" s="253">
        <v>82</v>
      </c>
    </row>
    <row r="97" spans="1:3" x14ac:dyDescent="0.25">
      <c r="A97" s="256" t="s">
        <v>160</v>
      </c>
      <c r="B97" s="257" t="s">
        <v>235</v>
      </c>
      <c r="C97" s="253">
        <v>31</v>
      </c>
    </row>
    <row r="98" spans="1:3" x14ac:dyDescent="0.25">
      <c r="A98" s="256" t="s">
        <v>192</v>
      </c>
      <c r="B98" s="257" t="s">
        <v>242</v>
      </c>
      <c r="C98" s="253">
        <v>65</v>
      </c>
    </row>
    <row r="99" spans="1:3" x14ac:dyDescent="0.25">
      <c r="A99" s="256" t="s">
        <v>147</v>
      </c>
      <c r="B99" s="257" t="s">
        <v>233</v>
      </c>
      <c r="C99" s="253">
        <v>18</v>
      </c>
    </row>
    <row r="100" spans="1:3" x14ac:dyDescent="0.25">
      <c r="A100" s="256" t="s">
        <v>193</v>
      </c>
      <c r="B100" s="257" t="s">
        <v>242</v>
      </c>
      <c r="C100" s="253">
        <v>66</v>
      </c>
    </row>
    <row r="101" spans="1:3" x14ac:dyDescent="0.25">
      <c r="A101" s="256" t="s">
        <v>220</v>
      </c>
      <c r="B101" s="257" t="s">
        <v>246</v>
      </c>
      <c r="C101" s="253">
        <v>94</v>
      </c>
    </row>
    <row r="102" spans="1:3" x14ac:dyDescent="0.25">
      <c r="A102" s="256" t="s">
        <v>194</v>
      </c>
      <c r="B102" s="257" t="s">
        <v>242</v>
      </c>
      <c r="C102" s="253">
        <v>67</v>
      </c>
    </row>
    <row r="103" spans="1:3" x14ac:dyDescent="0.25">
      <c r="A103" s="256" t="s">
        <v>176</v>
      </c>
      <c r="B103" s="257" t="s">
        <v>239</v>
      </c>
      <c r="C103" s="253">
        <v>48</v>
      </c>
    </row>
    <row r="104" spans="1:3" x14ac:dyDescent="0.25">
      <c r="A104" s="256" t="s">
        <v>221</v>
      </c>
      <c r="B104" s="257" t="s">
        <v>246</v>
      </c>
      <c r="C104" s="253">
        <v>95</v>
      </c>
    </row>
    <row r="105" spans="1:3" x14ac:dyDescent="0.25">
      <c r="A105" s="256" t="s">
        <v>141</v>
      </c>
      <c r="B105" s="257" t="s">
        <v>232</v>
      </c>
      <c r="C105" s="253">
        <v>12</v>
      </c>
    </row>
    <row r="106" spans="1:3" x14ac:dyDescent="0.25">
      <c r="A106" s="256" t="s">
        <v>152</v>
      </c>
      <c r="B106" s="257" t="s">
        <v>234</v>
      </c>
      <c r="C106" s="253">
        <v>23</v>
      </c>
    </row>
    <row r="107" spans="1:3" x14ac:dyDescent="0.25">
      <c r="A107" s="256" t="s">
        <v>134</v>
      </c>
      <c r="B107" s="257" t="s">
        <v>231</v>
      </c>
      <c r="C107" s="253">
        <v>5</v>
      </c>
    </row>
    <row r="108" spans="1:3" x14ac:dyDescent="0.25">
      <c r="A108" s="256" t="s">
        <v>201</v>
      </c>
      <c r="B108" s="257" t="s">
        <v>244</v>
      </c>
      <c r="C108" s="253">
        <v>75</v>
      </c>
    </row>
    <row r="109" spans="1:3" x14ac:dyDescent="0.25">
      <c r="A109" s="256" t="s">
        <v>153</v>
      </c>
      <c r="B109" s="257" t="s">
        <v>234</v>
      </c>
      <c r="C109" s="253">
        <v>24</v>
      </c>
    </row>
    <row r="110" spans="1:3" x14ac:dyDescent="0.25">
      <c r="A110" s="256" t="s">
        <v>161</v>
      </c>
      <c r="B110" s="257" t="s">
        <v>235</v>
      </c>
      <c r="C110" s="253">
        <v>32</v>
      </c>
    </row>
    <row r="111" spans="1:3" x14ac:dyDescent="0.25">
      <c r="A111" s="256" t="s">
        <v>177</v>
      </c>
      <c r="B111" s="257" t="s">
        <v>239</v>
      </c>
      <c r="C111" s="253">
        <v>49</v>
      </c>
    </row>
    <row r="112" spans="1:3" x14ac:dyDescent="0.25">
      <c r="A112" s="256" t="s">
        <v>209</v>
      </c>
      <c r="B112" s="257" t="s">
        <v>245</v>
      </c>
      <c r="C112" s="253">
        <v>83</v>
      </c>
    </row>
    <row r="113" spans="1:3" x14ac:dyDescent="0.25">
      <c r="A113" s="256" t="s">
        <v>202</v>
      </c>
      <c r="B113" s="257" t="s">
        <v>244</v>
      </c>
      <c r="C113" s="253">
        <v>76</v>
      </c>
    </row>
    <row r="114" spans="1:3" x14ac:dyDescent="0.25">
      <c r="A114" s="256" t="s">
        <v>195</v>
      </c>
      <c r="B114" s="257" t="s">
        <v>242</v>
      </c>
      <c r="C114" s="253">
        <v>68</v>
      </c>
    </row>
    <row r="115" spans="1:3" x14ac:dyDescent="0.25">
      <c r="A115" s="256" t="s">
        <v>60</v>
      </c>
      <c r="B115" s="257" t="s">
        <v>236</v>
      </c>
      <c r="C115" s="253">
        <v>34</v>
      </c>
    </row>
    <row r="116" spans="1:3" x14ac:dyDescent="0.25">
      <c r="A116" s="256" t="s">
        <v>230</v>
      </c>
      <c r="B116" s="257" t="s">
        <v>247</v>
      </c>
      <c r="C116" s="253">
        <v>104</v>
      </c>
    </row>
    <row r="117" spans="1:3" x14ac:dyDescent="0.25">
      <c r="A117" s="256" t="s">
        <v>166</v>
      </c>
      <c r="B117" s="257" t="s">
        <v>237</v>
      </c>
      <c r="C117" s="253">
        <v>38</v>
      </c>
    </row>
    <row r="118" spans="1:3" x14ac:dyDescent="0.25">
      <c r="A118" s="256" t="s">
        <v>222</v>
      </c>
      <c r="B118" s="257" t="s">
        <v>246</v>
      </c>
      <c r="C118" s="253">
        <v>96</v>
      </c>
    </row>
    <row r="119" spans="1:3" x14ac:dyDescent="0.25">
      <c r="A119" s="256" t="s">
        <v>167</v>
      </c>
      <c r="B119" s="257" t="s">
        <v>237</v>
      </c>
      <c r="C119" s="253">
        <v>39</v>
      </c>
    </row>
    <row r="120" spans="1:3" x14ac:dyDescent="0.25">
      <c r="A120" s="256" t="s">
        <v>148</v>
      </c>
      <c r="B120" s="257" t="s">
        <v>233</v>
      </c>
      <c r="C120" s="253">
        <v>19</v>
      </c>
    </row>
    <row r="121" spans="1:3" x14ac:dyDescent="0.25">
      <c r="A121" s="256" t="s">
        <v>149</v>
      </c>
      <c r="B121" s="257" t="s">
        <v>233</v>
      </c>
      <c r="C121" s="253">
        <v>20</v>
      </c>
    </row>
    <row r="122" spans="1:3" x14ac:dyDescent="0.25">
      <c r="A122" s="256" t="s">
        <v>135</v>
      </c>
      <c r="B122" s="257" t="s">
        <v>231</v>
      </c>
      <c r="C122" s="253">
        <v>6</v>
      </c>
    </row>
    <row r="123" spans="1:3" x14ac:dyDescent="0.25">
      <c r="A123" s="256" t="s">
        <v>136</v>
      </c>
      <c r="B123" s="257" t="s">
        <v>231</v>
      </c>
      <c r="C123" s="253">
        <v>7</v>
      </c>
    </row>
    <row r="124" spans="1:3" x14ac:dyDescent="0.25">
      <c r="A124" s="256" t="s">
        <v>196</v>
      </c>
      <c r="B124" s="257" t="s">
        <v>242</v>
      </c>
      <c r="C124" s="253">
        <v>69</v>
      </c>
    </row>
    <row r="125" spans="1:3" x14ac:dyDescent="0.25">
      <c r="A125" s="256" t="s">
        <v>223</v>
      </c>
      <c r="B125" s="257" t="s">
        <v>246</v>
      </c>
      <c r="C125" s="253">
        <v>97</v>
      </c>
    </row>
    <row r="126" spans="1:3" x14ac:dyDescent="0.25">
      <c r="A126" s="256" t="s">
        <v>224</v>
      </c>
      <c r="B126" s="257" t="s">
        <v>246</v>
      </c>
      <c r="C126" s="253">
        <v>98</v>
      </c>
    </row>
    <row r="127" spans="1:3" x14ac:dyDescent="0.25">
      <c r="A127" s="256" t="s">
        <v>171</v>
      </c>
      <c r="B127" s="257" t="s">
        <v>238</v>
      </c>
      <c r="C127" s="253">
        <v>43</v>
      </c>
    </row>
    <row r="128" spans="1:3" x14ac:dyDescent="0.25">
      <c r="A128" s="256" t="s">
        <v>142</v>
      </c>
      <c r="B128" s="257" t="s">
        <v>232</v>
      </c>
      <c r="C128" s="253">
        <v>13</v>
      </c>
    </row>
    <row r="129" spans="1:3" x14ac:dyDescent="0.25">
      <c r="A129" s="256" t="s">
        <v>178</v>
      </c>
      <c r="B129" s="257" t="s">
        <v>239</v>
      </c>
      <c r="C129" s="253">
        <v>50</v>
      </c>
    </row>
    <row r="130" spans="1:3" x14ac:dyDescent="0.25">
      <c r="A130" s="256" t="s">
        <v>154</v>
      </c>
      <c r="B130" s="257" t="s">
        <v>234</v>
      </c>
      <c r="C130" s="253">
        <v>25</v>
      </c>
    </row>
    <row r="131" spans="1:3" x14ac:dyDescent="0.25">
      <c r="A131" s="256" t="s">
        <v>162</v>
      </c>
      <c r="B131" s="257" t="s">
        <v>235</v>
      </c>
      <c r="C131" s="253">
        <v>33</v>
      </c>
    </row>
    <row r="132" spans="1:3" x14ac:dyDescent="0.25">
      <c r="A132" s="256" t="s">
        <v>172</v>
      </c>
      <c r="B132" s="257" t="s">
        <v>238</v>
      </c>
      <c r="C132" s="253">
        <v>44</v>
      </c>
    </row>
    <row r="133" spans="1:3" x14ac:dyDescent="0.25">
      <c r="A133" s="256" t="s">
        <v>137</v>
      </c>
      <c r="B133" s="257" t="s">
        <v>231</v>
      </c>
      <c r="C133" s="253">
        <v>8</v>
      </c>
    </row>
    <row r="134" spans="1:3" x14ac:dyDescent="0.25">
      <c r="A134" s="256" t="s">
        <v>210</v>
      </c>
      <c r="B134" s="257" t="s">
        <v>245</v>
      </c>
      <c r="C134" s="253">
        <v>84</v>
      </c>
    </row>
    <row r="135" spans="1:3" x14ac:dyDescent="0.25">
      <c r="A135" s="256" t="s">
        <v>155</v>
      </c>
      <c r="B135" s="257" t="s">
        <v>234</v>
      </c>
      <c r="C135" s="253">
        <v>26</v>
      </c>
    </row>
    <row r="136" spans="1:3" ht="15.75" thickBot="1" x14ac:dyDescent="0.3">
      <c r="A136" s="258" t="s">
        <v>225</v>
      </c>
      <c r="B136" s="259" t="s">
        <v>246</v>
      </c>
      <c r="C136" s="255">
        <v>99</v>
      </c>
    </row>
  </sheetData>
  <sortState xmlns:xlrd2="http://schemas.microsoft.com/office/spreadsheetml/2017/richdata2" ref="A33:C136">
    <sortCondition ref="A33:A136"/>
  </sortState>
  <mergeCells count="1">
    <mergeCell ref="F31:H31"/>
  </mergeCells>
  <phoneticPr fontId="26" type="noConversion"/>
  <conditionalFormatting sqref="W23:BC25">
    <cfRule type="expression" priority="1">
      <formula>$AB$9&lt;&gt;txt_utilisateur</formula>
    </cfRule>
  </conditionalFormatting>
  <pageMargins left="0.7" right="0.7" top="0.75" bottom="0.75" header="0.3" footer="0.3"/>
  <pageSetup orientation="portrait"/>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N41" sqref="N41"/>
    </sheetView>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indexed="12"/>
    <pageSetUpPr fitToPage="1"/>
  </sheetPr>
  <dimension ref="A1:LL253"/>
  <sheetViews>
    <sheetView showGridLines="0" showRowColHeaders="0" topLeftCell="E1" zoomScale="90" zoomScaleNormal="90" workbookViewId="0">
      <selection activeCell="E1" sqref="E1"/>
    </sheetView>
  </sheetViews>
  <sheetFormatPr baseColWidth="10" defaultColWidth="11.42578125" defaultRowHeight="15" customHeight="1" x14ac:dyDescent="0.25"/>
  <cols>
    <col min="1" max="1" width="13.140625" style="5" hidden="1" customWidth="1"/>
    <col min="2" max="2" width="11.5703125" style="5" hidden="1" customWidth="1"/>
    <col min="3" max="3" width="11" style="5" hidden="1" customWidth="1"/>
    <col min="4" max="4" width="12.85546875" style="5" hidden="1" customWidth="1"/>
    <col min="5" max="5" width="3.140625" style="5" customWidth="1"/>
    <col min="6" max="6" width="1" style="5" customWidth="1"/>
    <col min="7" max="57" width="3.140625" style="5" customWidth="1"/>
    <col min="58" max="58" width="1" style="5" customWidth="1"/>
    <col min="59" max="59" width="2.85546875" style="5" customWidth="1"/>
    <col min="60" max="215" width="3" style="5" hidden="1" customWidth="1"/>
    <col min="216" max="269" width="11.42578125" style="5" hidden="1" customWidth="1"/>
    <col min="270" max="270" width="9" style="5" hidden="1" customWidth="1"/>
    <col min="271" max="271" width="8.140625" style="5" hidden="1" customWidth="1"/>
    <col min="272" max="272" width="9" style="5" hidden="1" customWidth="1"/>
    <col min="273" max="273" width="9.7109375" style="5" hidden="1" customWidth="1"/>
    <col min="274" max="274" width="3.140625" style="5" hidden="1" customWidth="1"/>
    <col min="275" max="275" width="7.28515625" style="5" hidden="1" customWidth="1"/>
    <col min="276" max="276" width="8.140625" style="5" hidden="1" customWidth="1"/>
    <col min="277" max="277" width="5.42578125" style="5" hidden="1" customWidth="1"/>
    <col min="278" max="279" width="6.5703125" style="5" hidden="1" customWidth="1"/>
    <col min="280" max="280" width="4.85546875" style="5" hidden="1" customWidth="1"/>
    <col min="281" max="282" width="5.28515625" style="5" hidden="1" customWidth="1"/>
    <col min="283" max="286" width="4.5703125" style="5" hidden="1" customWidth="1"/>
    <col min="287" max="287" width="5.28515625" style="5" hidden="1" customWidth="1"/>
    <col min="288" max="288" width="3.140625" style="5" customWidth="1"/>
    <col min="289" max="289" width="11.42578125" style="5"/>
    <col min="290" max="290" width="13.28515625" style="5" customWidth="1"/>
    <col min="291" max="300" width="3.140625" style="5" customWidth="1"/>
    <col min="301" max="301" width="1.42578125" style="5" customWidth="1"/>
    <col min="302" max="313" width="3.140625" style="5" customWidth="1"/>
    <col min="314" max="325" width="0" style="5" hidden="1" customWidth="1"/>
    <col min="326" max="16384" width="11.42578125" style="5"/>
  </cols>
  <sheetData>
    <row r="1" spans="1:146" ht="15" customHeight="1" x14ac:dyDescent="0.25">
      <c r="B1" s="6" t="s">
        <v>306</v>
      </c>
      <c r="C1" s="71" t="s">
        <v>307</v>
      </c>
    </row>
    <row r="2" spans="1:146" ht="23.25" customHeight="1" x14ac:dyDescent="0.25">
      <c r="B2" s="5">
        <v>2</v>
      </c>
      <c r="C2" s="72"/>
      <c r="F2" s="342"/>
      <c r="G2" s="342"/>
      <c r="H2" s="342" t="str">
        <f>B2&amp;"."</f>
        <v>2.</v>
      </c>
      <c r="I2" s="343" t="s">
        <v>31</v>
      </c>
      <c r="J2" s="342"/>
      <c r="K2" s="342"/>
      <c r="L2" s="342"/>
      <c r="M2" s="342"/>
      <c r="N2" s="342"/>
      <c r="O2" s="342"/>
      <c r="P2" s="342"/>
      <c r="Q2" s="342"/>
      <c r="R2" s="342"/>
      <c r="S2" s="342"/>
      <c r="T2" s="342"/>
      <c r="U2" s="342"/>
      <c r="V2" s="342"/>
      <c r="W2" s="342"/>
      <c r="X2" s="342"/>
      <c r="Y2" s="342"/>
      <c r="Z2" s="342"/>
      <c r="AA2" s="342"/>
      <c r="AB2" s="342"/>
      <c r="AC2" s="342"/>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5" t="str">
        <f>"Version "&amp;Paramètres!$G$3</f>
        <v>Version 2022</v>
      </c>
      <c r="BF2" s="344"/>
    </row>
    <row r="3" spans="1:146" ht="5.25" customHeight="1" thickBot="1" x14ac:dyDescent="0.3">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row>
    <row r="4" spans="1:146" ht="15" customHeight="1" x14ac:dyDescent="0.25">
      <c r="F4" s="342"/>
      <c r="BF4" s="342"/>
      <c r="BH4" s="106"/>
      <c r="BI4" s="107"/>
      <c r="BJ4" s="107"/>
      <c r="BK4" s="107"/>
      <c r="BL4" s="107"/>
      <c r="BM4" s="107"/>
      <c r="BN4" s="107"/>
      <c r="BO4" s="107"/>
      <c r="BP4" s="107"/>
      <c r="BQ4" s="107"/>
      <c r="BR4" s="107"/>
      <c r="BS4" s="107"/>
      <c r="BT4" s="107"/>
      <c r="BU4" s="107"/>
      <c r="BV4" s="107"/>
      <c r="BW4" s="107"/>
      <c r="BX4" s="107"/>
      <c r="BY4" s="107"/>
      <c r="BZ4" s="107"/>
      <c r="CA4" s="107"/>
      <c r="CB4" s="108"/>
      <c r="CD4" s="106"/>
      <c r="CE4" s="107"/>
      <c r="CF4" s="107"/>
      <c r="CG4" s="107"/>
      <c r="CH4" s="107"/>
      <c r="CI4" s="107"/>
      <c r="CJ4" s="107"/>
      <c r="CK4" s="107"/>
      <c r="CL4" s="107"/>
      <c r="CM4" s="107"/>
      <c r="CN4" s="108"/>
    </row>
    <row r="5" spans="1:146" ht="18" customHeight="1" x14ac:dyDescent="0.25">
      <c r="C5" s="73">
        <v>1</v>
      </c>
      <c r="D5" s="73"/>
      <c r="E5" s="21"/>
      <c r="F5" s="342"/>
      <c r="G5" s="19"/>
      <c r="H5" s="12"/>
      <c r="I5" s="346" t="str">
        <f>CONCATENATE($B$2,".",$C5,".")</f>
        <v>2.1.</v>
      </c>
      <c r="J5" s="347" t="s">
        <v>585</v>
      </c>
      <c r="BF5" s="342"/>
      <c r="BH5" s="57"/>
      <c r="CB5" s="27"/>
      <c r="CD5" s="57"/>
      <c r="CN5" s="27"/>
    </row>
    <row r="6" spans="1:146" ht="15" customHeight="1" thickBot="1" x14ac:dyDescent="0.3">
      <c r="F6" s="342"/>
      <c r="BF6" s="342"/>
      <c r="BH6" s="57"/>
      <c r="CB6" s="27"/>
      <c r="CD6" s="57"/>
      <c r="CN6" s="27"/>
    </row>
    <row r="7" spans="1:146" ht="15" customHeight="1" thickBot="1" x14ac:dyDescent="0.3">
      <c r="C7" s="72" t="str">
        <f>$C5&amp;".1"</f>
        <v>1.1</v>
      </c>
      <c r="D7" s="72"/>
      <c r="E7" s="36"/>
      <c r="F7" s="342"/>
      <c r="H7" s="12"/>
      <c r="J7" s="77" t="str">
        <f>CONCATENATE($B$2,".",$C7,".")</f>
        <v>2.1.1.</v>
      </c>
      <c r="K7" s="757" t="s">
        <v>507</v>
      </c>
      <c r="L7" s="757"/>
      <c r="M7" s="757"/>
      <c r="N7" s="757"/>
      <c r="O7" s="757"/>
      <c r="P7" s="757"/>
      <c r="Q7" s="757"/>
      <c r="R7" s="757"/>
      <c r="S7" s="757"/>
      <c r="T7" s="757"/>
      <c r="U7" s="757"/>
      <c r="V7" s="757"/>
      <c r="W7" s="757"/>
      <c r="X7" s="757"/>
      <c r="Y7" s="757"/>
      <c r="Z7" s="757"/>
      <c r="AA7" s="757"/>
      <c r="AB7" s="757"/>
      <c r="AL7" s="852" t="str">
        <f>titre_marge</f>
        <v>Écart de validation recommandé</v>
      </c>
      <c r="AM7" s="852"/>
      <c r="AN7" s="852"/>
      <c r="AO7" s="852"/>
      <c r="AP7" s="852"/>
      <c r="AQ7" s="852"/>
      <c r="AR7" s="852"/>
      <c r="AS7" s="852"/>
      <c r="AT7" s="852"/>
      <c r="AU7" s="852"/>
      <c r="AV7" s="852"/>
      <c r="AW7" s="852"/>
      <c r="AX7" s="852"/>
      <c r="AY7" s="852"/>
      <c r="AZ7" s="19"/>
      <c r="BA7" s="19"/>
      <c r="BB7" s="19"/>
      <c r="BC7" s="19"/>
      <c r="BF7" s="342"/>
      <c r="BH7" s="57"/>
      <c r="BI7" s="26" t="s">
        <v>536</v>
      </c>
      <c r="BS7" s="348"/>
      <c r="BT7" s="348"/>
      <c r="BU7" s="348"/>
      <c r="BV7" s="348"/>
      <c r="BW7" s="348"/>
      <c r="BX7" s="348"/>
      <c r="BY7" s="348"/>
      <c r="BZ7" s="348"/>
      <c r="CA7" s="348"/>
      <c r="CB7" s="27"/>
      <c r="CD7" s="57"/>
      <c r="CE7" s="26" t="s">
        <v>583</v>
      </c>
      <c r="CN7" s="27"/>
    </row>
    <row r="8" spans="1:146" s="348" customFormat="1" ht="15" customHeight="1" x14ac:dyDescent="0.25">
      <c r="A8" s="148" t="s">
        <v>567</v>
      </c>
      <c r="B8" s="148"/>
      <c r="C8" s="73" t="str">
        <f>$C7&amp;".1"</f>
        <v>1.1.1</v>
      </c>
      <c r="D8" s="149"/>
      <c r="E8" s="21"/>
      <c r="F8" s="349"/>
      <c r="G8" s="150"/>
      <c r="H8" s="150"/>
      <c r="I8" s="150"/>
      <c r="J8" s="379"/>
      <c r="K8" s="350" t="str">
        <f>CONCATENATE($B$2,".",$C8,".")</f>
        <v>2.1.1.1.</v>
      </c>
      <c r="L8" s="864" t="s">
        <v>807</v>
      </c>
      <c r="M8" s="864"/>
      <c r="N8" s="864"/>
      <c r="O8" s="864"/>
      <c r="P8" s="864"/>
      <c r="Q8" s="864"/>
      <c r="R8" s="864"/>
      <c r="S8" s="864"/>
      <c r="T8" s="864"/>
      <c r="U8" s="864"/>
      <c r="V8" s="864"/>
      <c r="W8" s="864"/>
      <c r="X8" s="864"/>
      <c r="Y8" s="864"/>
      <c r="Z8" s="867"/>
      <c r="AA8" s="867"/>
      <c r="AB8" s="867"/>
      <c r="AC8" s="867"/>
      <c r="AD8" s="867"/>
      <c r="AL8" s="853" t="str">
        <f>texte_marge&amp;(Paramètres!E5*100)&amp;" %."</f>
        <v>Les données fournies par l'outil sont basées sur des moyennes québécoises. Il est donc normal qu'il y ait un écart entre vos données (si vous en avez saisi) et celles suggérées. L'écart de validation considéré comme acceptable est de 25 %.</v>
      </c>
      <c r="AM8" s="854"/>
      <c r="AN8" s="854"/>
      <c r="AO8" s="854"/>
      <c r="AP8" s="854"/>
      <c r="AQ8" s="854"/>
      <c r="AR8" s="854"/>
      <c r="AS8" s="854"/>
      <c r="AT8" s="854"/>
      <c r="AU8" s="854"/>
      <c r="AV8" s="854"/>
      <c r="AW8" s="854"/>
      <c r="AX8" s="854"/>
      <c r="AY8" s="854"/>
      <c r="AZ8" s="854"/>
      <c r="BA8" s="854"/>
      <c r="BB8" s="854"/>
      <c r="BC8" s="854"/>
      <c r="BD8" s="855"/>
      <c r="BE8" s="351"/>
      <c r="BF8" s="352"/>
      <c r="BH8" s="353"/>
      <c r="BS8" s="26" t="s">
        <v>537</v>
      </c>
      <c r="BT8" s="5"/>
      <c r="BU8" s="5"/>
      <c r="BV8" s="5"/>
      <c r="BW8" s="5"/>
      <c r="BX8" s="5"/>
      <c r="BY8" s="5"/>
      <c r="CB8" s="354"/>
      <c r="CD8" s="353"/>
      <c r="CE8" s="873" t="s">
        <v>584</v>
      </c>
      <c r="CF8" s="873"/>
      <c r="CG8" s="873"/>
      <c r="CH8" s="873"/>
      <c r="CI8" s="873"/>
      <c r="CJ8" s="873"/>
      <c r="CK8" s="873"/>
      <c r="CL8" s="873"/>
      <c r="CM8" s="873"/>
      <c r="CN8" s="354"/>
      <c r="CS8" s="5"/>
      <c r="CT8" s="5"/>
      <c r="CU8" s="5"/>
      <c r="CV8" s="5"/>
      <c r="CW8" s="5"/>
      <c r="CX8" s="5"/>
      <c r="CY8" s="5"/>
      <c r="CZ8" s="5"/>
      <c r="DA8" s="5"/>
      <c r="DB8" s="5"/>
      <c r="DC8" s="5"/>
      <c r="DD8" s="5"/>
      <c r="DE8" s="5"/>
      <c r="DF8" s="5"/>
      <c r="DG8" s="5"/>
      <c r="DH8" s="5"/>
      <c r="DI8" s="5"/>
      <c r="DJ8" s="5"/>
      <c r="DK8" s="5"/>
      <c r="DL8" s="5"/>
      <c r="DM8" s="5"/>
    </row>
    <row r="9" spans="1:146" s="348" customFormat="1" ht="15" customHeight="1" x14ac:dyDescent="0.25">
      <c r="A9" s="148" t="s">
        <v>568</v>
      </c>
      <c r="B9" s="151"/>
      <c r="C9" s="73" t="str">
        <f>$C7&amp;".2"</f>
        <v>1.1.2</v>
      </c>
      <c r="F9" s="349"/>
      <c r="G9" s="351"/>
      <c r="H9" s="351"/>
      <c r="I9" s="351"/>
      <c r="J9" s="379"/>
      <c r="K9" s="350" t="str">
        <f>CONCATENATE($B$2,".",$C9,".")</f>
        <v>2.1.1.2.</v>
      </c>
      <c r="L9" s="788" t="s">
        <v>639</v>
      </c>
      <c r="M9" s="788"/>
      <c r="N9" s="788"/>
      <c r="O9" s="788"/>
      <c r="P9" s="788"/>
      <c r="Q9" s="788"/>
      <c r="R9" s="788"/>
      <c r="S9" s="788"/>
      <c r="T9" s="788"/>
      <c r="U9" s="788"/>
      <c r="V9" s="788"/>
      <c r="W9" s="788"/>
      <c r="X9" s="788"/>
      <c r="Y9" s="788"/>
      <c r="Z9" s="867"/>
      <c r="AA9" s="867"/>
      <c r="AB9" s="867"/>
      <c r="AC9" s="867"/>
      <c r="AD9" s="867"/>
      <c r="AE9" s="351"/>
      <c r="AF9" s="351"/>
      <c r="AL9" s="856"/>
      <c r="AM9" s="857"/>
      <c r="AN9" s="857"/>
      <c r="AO9" s="857"/>
      <c r="AP9" s="857"/>
      <c r="AQ9" s="857"/>
      <c r="AR9" s="857"/>
      <c r="AS9" s="857"/>
      <c r="AT9" s="857"/>
      <c r="AU9" s="857"/>
      <c r="AV9" s="857"/>
      <c r="AW9" s="857"/>
      <c r="AX9" s="857"/>
      <c r="AY9" s="857"/>
      <c r="AZ9" s="857"/>
      <c r="BA9" s="857"/>
      <c r="BB9" s="857"/>
      <c r="BC9" s="857"/>
      <c r="BD9" s="858"/>
      <c r="BE9" s="351"/>
      <c r="BF9" s="352"/>
      <c r="BH9" s="353"/>
      <c r="BI9" s="717" t="s">
        <v>535</v>
      </c>
      <c r="BJ9" s="717"/>
      <c r="BK9" s="717"/>
      <c r="BL9" s="717"/>
      <c r="BM9" s="875">
        <f>IF(Z15="",res_UO_multi*Paramètres!E14,res_UO_multi*Z15)</f>
        <v>0</v>
      </c>
      <c r="BN9" s="875"/>
      <c r="BO9" s="875"/>
      <c r="BP9" s="875"/>
      <c r="BQ9" s="875"/>
      <c r="BS9" s="717" t="str">
        <f>IF(Z15="","Calculé","Densité informée")</f>
        <v>Calculé</v>
      </c>
      <c r="BT9" s="717"/>
      <c r="BU9" s="717"/>
      <c r="BV9" s="717"/>
      <c r="BW9" s="717"/>
      <c r="BX9" s="717"/>
      <c r="BY9" s="717"/>
      <c r="CB9" s="354"/>
      <c r="CD9" s="353"/>
      <c r="CE9" s="717" t="s">
        <v>535</v>
      </c>
      <c r="CF9" s="717"/>
      <c r="CG9" s="717"/>
      <c r="CH9" s="717"/>
      <c r="CI9" s="876">
        <f>Z8</f>
        <v>0</v>
      </c>
      <c r="CJ9" s="876"/>
      <c r="CK9" s="876"/>
      <c r="CL9" s="876"/>
      <c r="CM9" s="876"/>
      <c r="CN9" s="354"/>
      <c r="CS9" s="5"/>
      <c r="CT9" s="5"/>
      <c r="CU9" s="5"/>
      <c r="CV9" s="5"/>
      <c r="CW9" s="5"/>
      <c r="CX9" s="5"/>
      <c r="CY9" s="5"/>
      <c r="CZ9" s="5"/>
      <c r="DA9" s="5"/>
      <c r="DB9" s="5"/>
      <c r="DC9" s="5"/>
      <c r="DD9" s="5"/>
      <c r="DE9" s="5"/>
      <c r="DF9" s="5"/>
      <c r="DG9" s="5"/>
      <c r="DH9" s="5"/>
      <c r="DI9" s="5"/>
      <c r="DJ9" s="5"/>
      <c r="DK9" s="5"/>
      <c r="DL9" s="5"/>
      <c r="DM9" s="5"/>
    </row>
    <row r="10" spans="1:146" s="348" customFormat="1" ht="15" customHeight="1" x14ac:dyDescent="0.25">
      <c r="A10" s="148" t="s">
        <v>569</v>
      </c>
      <c r="B10" s="151"/>
      <c r="C10" s="73" t="str">
        <f>$C7&amp;".3"</f>
        <v>1.1.3</v>
      </c>
      <c r="F10" s="349"/>
      <c r="G10" s="351"/>
      <c r="H10" s="351"/>
      <c r="I10" s="351"/>
      <c r="J10" s="379"/>
      <c r="K10" s="350" t="str">
        <f>CONCATENATE($B$2,".",$C10,".")</f>
        <v>2.1.1.3.</v>
      </c>
      <c r="L10" s="864" t="s">
        <v>746</v>
      </c>
      <c r="M10" s="864"/>
      <c r="N10" s="864"/>
      <c r="O10" s="864"/>
      <c r="P10" s="864"/>
      <c r="Q10" s="864"/>
      <c r="R10" s="864"/>
      <c r="S10" s="864"/>
      <c r="T10" s="864"/>
      <c r="U10" s="864"/>
      <c r="V10" s="864"/>
      <c r="W10" s="864"/>
      <c r="X10" s="864"/>
      <c r="Y10" s="864"/>
      <c r="Z10" s="867"/>
      <c r="AA10" s="867"/>
      <c r="AB10" s="867"/>
      <c r="AC10" s="867"/>
      <c r="AD10" s="867"/>
      <c r="AL10" s="856"/>
      <c r="AM10" s="857"/>
      <c r="AN10" s="857"/>
      <c r="AO10" s="857"/>
      <c r="AP10" s="857"/>
      <c r="AQ10" s="857"/>
      <c r="AR10" s="857"/>
      <c r="AS10" s="857"/>
      <c r="AT10" s="857"/>
      <c r="AU10" s="857"/>
      <c r="AV10" s="857"/>
      <c r="AW10" s="857"/>
      <c r="AX10" s="857"/>
      <c r="AY10" s="857"/>
      <c r="AZ10" s="857"/>
      <c r="BA10" s="857"/>
      <c r="BB10" s="857"/>
      <c r="BC10" s="857"/>
      <c r="BD10" s="858"/>
      <c r="BE10" s="351"/>
      <c r="BF10" s="352"/>
      <c r="BH10" s="353"/>
      <c r="BI10" s="717" t="s">
        <v>533</v>
      </c>
      <c r="BJ10" s="717"/>
      <c r="BK10" s="717"/>
      <c r="BL10" s="717"/>
      <c r="BM10" s="875">
        <f>IF(Z16="",res_UO_plex*Paramètres!E13,res_UO_plex*Z16)</f>
        <v>0</v>
      </c>
      <c r="BN10" s="875"/>
      <c r="BO10" s="875"/>
      <c r="BP10" s="875"/>
      <c r="BQ10" s="875"/>
      <c r="BS10" s="717" t="str">
        <f>IF(Z16="","Calculé","Densité informée")</f>
        <v>Calculé</v>
      </c>
      <c r="BT10" s="717"/>
      <c r="BU10" s="717"/>
      <c r="BV10" s="717"/>
      <c r="BW10" s="717"/>
      <c r="BX10" s="717"/>
      <c r="BY10" s="717"/>
      <c r="CB10" s="354"/>
      <c r="CD10" s="353"/>
      <c r="CE10" s="717" t="s">
        <v>533</v>
      </c>
      <c r="CF10" s="717"/>
      <c r="CG10" s="717"/>
      <c r="CH10" s="717"/>
      <c r="CI10" s="876">
        <f>Z9</f>
        <v>0</v>
      </c>
      <c r="CJ10" s="876"/>
      <c r="CK10" s="876"/>
      <c r="CL10" s="876"/>
      <c r="CM10" s="876"/>
      <c r="CN10" s="354"/>
      <c r="CS10" s="5"/>
      <c r="CT10" s="5"/>
      <c r="CU10" s="5"/>
      <c r="CV10" s="5"/>
      <c r="CW10" s="5"/>
      <c r="CX10" s="5"/>
      <c r="CY10" s="5"/>
      <c r="CZ10" s="5"/>
      <c r="DA10" s="5"/>
      <c r="DB10" s="5"/>
      <c r="DC10" s="5"/>
      <c r="DD10" s="5"/>
      <c r="DE10" s="5"/>
      <c r="DF10" s="5"/>
      <c r="DG10" s="5"/>
      <c r="DH10" s="5"/>
      <c r="DI10" s="5"/>
      <c r="DJ10" s="5"/>
      <c r="DK10" s="5"/>
      <c r="DL10" s="5"/>
      <c r="DM10" s="5"/>
    </row>
    <row r="11" spans="1:146" s="348" customFormat="1" ht="15" customHeight="1" x14ac:dyDescent="0.25">
      <c r="A11" s="151"/>
      <c r="B11" s="151"/>
      <c r="C11" s="73" t="str">
        <f>$C7&amp;".4"</f>
        <v>1.1.4</v>
      </c>
      <c r="F11" s="349"/>
      <c r="G11" s="351"/>
      <c r="H11" s="351"/>
      <c r="I11" s="351"/>
      <c r="J11" s="379"/>
      <c r="K11" s="350" t="str">
        <f>CONCATENATE($B$2,".",$C11,".")</f>
        <v>2.1.1.4.</v>
      </c>
      <c r="L11" s="526" t="s">
        <v>747</v>
      </c>
      <c r="M11" s="526"/>
      <c r="N11" s="526"/>
      <c r="O11" s="526"/>
      <c r="P11" s="526"/>
      <c r="Q11" s="526"/>
      <c r="R11" s="526"/>
      <c r="S11" s="526"/>
      <c r="T11" s="526"/>
      <c r="U11" s="526"/>
      <c r="V11" s="526"/>
      <c r="W11" s="526"/>
      <c r="X11" s="526"/>
      <c r="Y11" s="526"/>
      <c r="Z11" s="867"/>
      <c r="AA11" s="867"/>
      <c r="AB11" s="867"/>
      <c r="AC11" s="867"/>
      <c r="AD11" s="867"/>
      <c r="AL11" s="856"/>
      <c r="AM11" s="857"/>
      <c r="AN11" s="857"/>
      <c r="AO11" s="857"/>
      <c r="AP11" s="857"/>
      <c r="AQ11" s="857"/>
      <c r="AR11" s="857"/>
      <c r="AS11" s="857"/>
      <c r="AT11" s="857"/>
      <c r="AU11" s="857"/>
      <c r="AV11" s="857"/>
      <c r="AW11" s="857"/>
      <c r="AX11" s="857"/>
      <c r="AY11" s="857"/>
      <c r="AZ11" s="857"/>
      <c r="BA11" s="857"/>
      <c r="BB11" s="857"/>
      <c r="BC11" s="857"/>
      <c r="BD11" s="858"/>
      <c r="BE11" s="351"/>
      <c r="BF11" s="352"/>
      <c r="BH11" s="353"/>
      <c r="BI11" s="832" t="s">
        <v>743</v>
      </c>
      <c r="BJ11" s="717"/>
      <c r="BK11" s="717"/>
      <c r="BL11" s="717"/>
      <c r="BM11" s="875">
        <f>IF(Z17="",res_UO_uni*Paramètres!E12,res_UO_uni*Z17)</f>
        <v>0</v>
      </c>
      <c r="BN11" s="875"/>
      <c r="BO11" s="875"/>
      <c r="BP11" s="875"/>
      <c r="BQ11" s="875"/>
      <c r="BS11" s="717" t="str">
        <f>IF(Z17="","Calculé","Densité informée")</f>
        <v>Calculé</v>
      </c>
      <c r="BT11" s="717"/>
      <c r="BU11" s="717"/>
      <c r="BV11" s="717"/>
      <c r="BW11" s="717"/>
      <c r="BX11" s="717"/>
      <c r="BY11" s="717"/>
      <c r="CB11" s="354"/>
      <c r="CD11" s="353"/>
      <c r="CE11" s="717" t="s">
        <v>532</v>
      </c>
      <c r="CF11" s="717"/>
      <c r="CG11" s="717"/>
      <c r="CH11" s="717"/>
      <c r="CI11" s="876">
        <f>Z10</f>
        <v>0</v>
      </c>
      <c r="CJ11" s="876"/>
      <c r="CK11" s="876"/>
      <c r="CL11" s="876"/>
      <c r="CM11" s="876"/>
      <c r="CN11" s="354"/>
      <c r="CS11" s="5"/>
      <c r="CT11" s="5"/>
      <c r="CU11" s="5"/>
      <c r="CV11" s="5"/>
      <c r="CW11" s="5"/>
      <c r="CX11" s="5"/>
      <c r="CY11" s="5"/>
      <c r="CZ11" s="5"/>
      <c r="DA11" s="5"/>
      <c r="DB11" s="5"/>
      <c r="DC11" s="5"/>
      <c r="DD11" s="5"/>
      <c r="DE11" s="5"/>
      <c r="DF11" s="5"/>
      <c r="DG11" s="5"/>
      <c r="DH11" s="5"/>
      <c r="DI11" s="5"/>
      <c r="DJ11" s="5"/>
      <c r="DK11" s="5"/>
      <c r="DL11" s="5"/>
      <c r="DM11" s="5"/>
    </row>
    <row r="12" spans="1:146" s="348" customFormat="1" ht="15" customHeight="1" thickBot="1" x14ac:dyDescent="0.3">
      <c r="A12" s="151"/>
      <c r="B12" s="151"/>
      <c r="C12" s="379" t="s">
        <v>749</v>
      </c>
      <c r="F12" s="349"/>
      <c r="G12" s="351"/>
      <c r="H12" s="351"/>
      <c r="J12" s="379"/>
      <c r="K12" s="350" t="str">
        <f>CONCATENATE($B$2,".",$C12,".")</f>
        <v>2.1.1.5.</v>
      </c>
      <c r="L12" s="864" t="s">
        <v>726</v>
      </c>
      <c r="M12" s="864"/>
      <c r="N12" s="864"/>
      <c r="O12" s="864"/>
      <c r="P12" s="864"/>
      <c r="Q12" s="864"/>
      <c r="R12" s="864"/>
      <c r="S12" s="864"/>
      <c r="T12" s="864"/>
      <c r="U12" s="864"/>
      <c r="V12" s="864"/>
      <c r="W12" s="864"/>
      <c r="X12" s="864"/>
      <c r="Y12" s="864"/>
      <c r="Z12" s="867"/>
      <c r="AA12" s="867"/>
      <c r="AB12" s="867"/>
      <c r="AC12" s="867"/>
      <c r="AD12" s="867"/>
      <c r="AI12" s="351"/>
      <c r="AJ12" s="351"/>
      <c r="AK12" s="351"/>
      <c r="AL12" s="859"/>
      <c r="AM12" s="860"/>
      <c r="AN12" s="860"/>
      <c r="AO12" s="860"/>
      <c r="AP12" s="860"/>
      <c r="AQ12" s="860"/>
      <c r="AR12" s="860"/>
      <c r="AS12" s="860"/>
      <c r="AT12" s="860"/>
      <c r="AU12" s="860"/>
      <c r="AV12" s="860"/>
      <c r="AW12" s="860"/>
      <c r="AX12" s="860"/>
      <c r="AY12" s="860"/>
      <c r="AZ12" s="860"/>
      <c r="BA12" s="860"/>
      <c r="BB12" s="860"/>
      <c r="BC12" s="860"/>
      <c r="BD12" s="861"/>
      <c r="BE12" s="351"/>
      <c r="BF12" s="352"/>
      <c r="BH12" s="355"/>
      <c r="BI12" s="548" t="s">
        <v>753</v>
      </c>
      <c r="BJ12" s="356"/>
      <c r="BK12" s="356"/>
      <c r="BL12" s="356"/>
      <c r="BM12" s="875">
        <f>IF(Z18="",res_UO_uni_r*Paramètres!E13,res_UO_uni_r*Z18)</f>
        <v>0</v>
      </c>
      <c r="BN12" s="875"/>
      <c r="BO12" s="875"/>
      <c r="BP12" s="875"/>
      <c r="BQ12" s="875"/>
      <c r="BR12" s="356"/>
      <c r="BS12" s="717" t="str">
        <f>IF(Z18="","Calculé","Densité informée")</f>
        <v>Calculé</v>
      </c>
      <c r="BT12" s="717"/>
      <c r="BU12" s="717"/>
      <c r="BV12" s="717"/>
      <c r="BW12" s="717"/>
      <c r="BX12" s="717"/>
      <c r="BY12" s="717"/>
      <c r="BZ12" s="356"/>
      <c r="CA12" s="356"/>
      <c r="CB12" s="357"/>
      <c r="CD12" s="355"/>
      <c r="CE12" s="548" t="s">
        <v>753</v>
      </c>
      <c r="CF12" s="356"/>
      <c r="CG12" s="356"/>
      <c r="CH12" s="356"/>
      <c r="CI12" s="876">
        <f>Z11+(Z12/2)</f>
        <v>0</v>
      </c>
      <c r="CJ12" s="876"/>
      <c r="CK12" s="876"/>
      <c r="CL12" s="876"/>
      <c r="CM12" s="876"/>
      <c r="CN12" s="357"/>
      <c r="CS12" s="5"/>
      <c r="CT12" s="5"/>
      <c r="CU12" s="5"/>
      <c r="CV12" s="5"/>
      <c r="CW12" s="5"/>
      <c r="CX12" s="5"/>
      <c r="CY12" s="5"/>
      <c r="CZ12" s="5"/>
      <c r="DA12" s="5"/>
      <c r="DB12" s="5"/>
      <c r="DC12" s="5"/>
      <c r="DD12" s="5"/>
      <c r="DE12" s="5"/>
      <c r="DF12" s="5"/>
      <c r="DG12" s="5"/>
      <c r="DH12" s="5"/>
      <c r="DI12" s="5"/>
      <c r="DJ12" s="5"/>
      <c r="DK12" s="5"/>
      <c r="DL12" s="5"/>
      <c r="DM12" s="5"/>
    </row>
    <row r="13" spans="1:146" s="348" customFormat="1" ht="15" customHeight="1" x14ac:dyDescent="0.25">
      <c r="A13" s="151"/>
      <c r="B13" s="151"/>
      <c r="F13" s="349"/>
      <c r="G13" s="351"/>
      <c r="H13" s="351"/>
      <c r="J13" s="379"/>
      <c r="K13" s="350"/>
      <c r="L13" s="526"/>
      <c r="M13" s="526"/>
      <c r="N13" s="526"/>
      <c r="O13" s="526"/>
      <c r="P13" s="526"/>
      <c r="Q13" s="526"/>
      <c r="R13" s="526"/>
      <c r="S13" s="526"/>
      <c r="T13" s="526"/>
      <c r="U13" s="526"/>
      <c r="V13" s="526"/>
      <c r="W13" s="526"/>
      <c r="X13" s="526"/>
      <c r="Y13" s="526"/>
      <c r="Z13" s="546"/>
      <c r="AA13" s="546"/>
      <c r="AB13" s="546"/>
      <c r="AC13" s="546"/>
      <c r="AD13" s="546"/>
      <c r="AI13" s="351"/>
      <c r="AJ13" s="351"/>
      <c r="AK13" s="351"/>
      <c r="AL13" s="527"/>
      <c r="AM13" s="527"/>
      <c r="AN13" s="527"/>
      <c r="AO13" s="527"/>
      <c r="AP13" s="527"/>
      <c r="AQ13" s="527"/>
      <c r="AR13" s="527"/>
      <c r="AS13" s="527"/>
      <c r="AT13" s="527"/>
      <c r="AU13" s="527"/>
      <c r="AV13" s="527"/>
      <c r="AW13" s="527"/>
      <c r="AX13" s="527"/>
      <c r="AY13" s="527"/>
      <c r="AZ13" s="527"/>
      <c r="BA13" s="527"/>
      <c r="BB13" s="527"/>
      <c r="BC13" s="527"/>
      <c r="BD13" s="527"/>
      <c r="BE13" s="351"/>
      <c r="BF13" s="352"/>
      <c r="CS13" s="5"/>
      <c r="CT13" s="5"/>
      <c r="CU13" s="5"/>
      <c r="CV13" s="5"/>
      <c r="CW13" s="5"/>
      <c r="CX13" s="5"/>
      <c r="CY13" s="5"/>
      <c r="CZ13" s="5"/>
      <c r="DA13" s="5"/>
      <c r="DB13" s="5"/>
      <c r="DC13" s="5"/>
      <c r="DD13" s="5"/>
      <c r="DE13" s="5"/>
      <c r="DF13" s="5"/>
      <c r="DG13" s="5"/>
      <c r="DH13" s="5"/>
      <c r="DI13" s="5"/>
      <c r="DJ13" s="5"/>
      <c r="DK13" s="5"/>
      <c r="DL13" s="5"/>
      <c r="DM13" s="5"/>
    </row>
    <row r="14" spans="1:146" s="348" customFormat="1" ht="15" customHeight="1" x14ac:dyDescent="0.25">
      <c r="A14" s="151"/>
      <c r="B14" s="151"/>
      <c r="C14" s="72" t="str">
        <f>$C5&amp;".2"</f>
        <v>1.2</v>
      </c>
      <c r="D14" s="152"/>
      <c r="E14" s="21"/>
      <c r="F14" s="349"/>
      <c r="G14" s="150"/>
      <c r="H14" s="150"/>
      <c r="J14" s="77" t="str">
        <f>CONCATENATE($B$2,".",$C14,".")</f>
        <v>2.1.2.</v>
      </c>
      <c r="K14" s="757" t="s">
        <v>725</v>
      </c>
      <c r="L14" s="757"/>
      <c r="M14" s="757"/>
      <c r="N14" s="757"/>
      <c r="O14" s="757"/>
      <c r="P14" s="757"/>
      <c r="Q14" s="757"/>
      <c r="R14" s="757"/>
      <c r="S14" s="757"/>
      <c r="T14" s="757"/>
      <c r="U14" s="757"/>
      <c r="V14" s="757"/>
      <c r="W14" s="757"/>
      <c r="X14" s="757"/>
      <c r="Y14" s="757"/>
      <c r="Z14" s="757"/>
      <c r="AA14" s="877"/>
      <c r="AB14" s="878"/>
      <c r="AC14" s="379"/>
      <c r="AD14" s="379"/>
      <c r="AF14" s="26" t="s">
        <v>722</v>
      </c>
      <c r="AG14" s="351"/>
      <c r="AH14" s="351"/>
      <c r="AI14" s="351"/>
      <c r="AJ14" s="351"/>
      <c r="AK14" s="153"/>
      <c r="AL14" s="154"/>
      <c r="AM14" s="154"/>
      <c r="AN14" s="154"/>
      <c r="AO14" s="154"/>
      <c r="AP14" s="154"/>
      <c r="AQ14" s="154"/>
      <c r="AR14" s="154"/>
      <c r="AS14" s="154"/>
      <c r="AT14" s="154"/>
      <c r="AU14" s="154"/>
      <c r="AV14" s="154"/>
      <c r="AW14" s="154"/>
      <c r="AX14" s="154"/>
      <c r="AY14" s="154"/>
      <c r="AZ14" s="154"/>
      <c r="BA14" s="154"/>
      <c r="BB14" s="154"/>
      <c r="BC14" s="154"/>
      <c r="BD14" s="358"/>
      <c r="BE14" s="358"/>
      <c r="BF14" s="352"/>
    </row>
    <row r="15" spans="1:146" s="348" customFormat="1" ht="15" customHeight="1" thickBot="1" x14ac:dyDescent="0.3">
      <c r="A15" s="151"/>
      <c r="B15" s="151"/>
      <c r="C15" s="73" t="str">
        <f>$C14&amp;".1"</f>
        <v>1.2.1</v>
      </c>
      <c r="D15" s="152"/>
      <c r="E15" s="21"/>
      <c r="F15" s="349"/>
      <c r="G15" s="150"/>
      <c r="H15" s="150"/>
      <c r="I15" s="150"/>
      <c r="J15" s="379"/>
      <c r="K15" s="350" t="str">
        <f>CONCATENATE($B$2,".",$C15,".")</f>
        <v>2.1.2.1.</v>
      </c>
      <c r="L15" s="864" t="s">
        <v>807</v>
      </c>
      <c r="M15" s="864"/>
      <c r="N15" s="864"/>
      <c r="O15" s="864"/>
      <c r="P15" s="864"/>
      <c r="Q15" s="864"/>
      <c r="R15" s="864"/>
      <c r="S15" s="864"/>
      <c r="T15" s="864"/>
      <c r="U15" s="864"/>
      <c r="V15" s="864"/>
      <c r="W15" s="864"/>
      <c r="X15" s="864"/>
      <c r="Y15" s="864"/>
      <c r="Z15" s="863"/>
      <c r="AA15" s="863"/>
      <c r="AB15" s="863"/>
      <c r="AC15" s="863"/>
      <c r="AD15" s="863"/>
      <c r="AF15" s="874">
        <f>[1]Paramètres!E14</f>
        <v>1.89</v>
      </c>
      <c r="AG15" s="874"/>
      <c r="AH15" s="874"/>
      <c r="AI15" s="874"/>
      <c r="AJ15" s="874"/>
      <c r="AV15" s="153"/>
      <c r="AW15" s="153"/>
      <c r="AX15" s="154"/>
      <c r="AY15" s="154"/>
      <c r="AZ15" s="154"/>
      <c r="BA15" s="154"/>
      <c r="BB15" s="154"/>
      <c r="BC15" s="154"/>
      <c r="BD15" s="358"/>
      <c r="BE15" s="358"/>
      <c r="BF15" s="352"/>
      <c r="BM15" s="5"/>
      <c r="BN15" s="5"/>
      <c r="BO15" s="5"/>
      <c r="BP15" s="5"/>
      <c r="BQ15" s="5"/>
      <c r="BR15" s="5"/>
      <c r="BS15" s="5"/>
    </row>
    <row r="16" spans="1:146" s="348" customFormat="1" ht="15" customHeight="1" thickBot="1" x14ac:dyDescent="0.3">
      <c r="A16" s="151"/>
      <c r="B16" s="151"/>
      <c r="C16" s="73" t="str">
        <f>$C14&amp;".2"</f>
        <v>1.2.2</v>
      </c>
      <c r="D16" s="152"/>
      <c r="E16" s="21"/>
      <c r="F16" s="349"/>
      <c r="G16" s="150"/>
      <c r="H16" s="150"/>
      <c r="I16" s="150"/>
      <c r="J16" s="379"/>
      <c r="K16" s="350" t="str">
        <f>CONCATENATE($B$2,".",$C16,".")</f>
        <v>2.1.2.2.</v>
      </c>
      <c r="L16" s="788" t="s">
        <v>639</v>
      </c>
      <c r="M16" s="788"/>
      <c r="N16" s="788"/>
      <c r="O16" s="788"/>
      <c r="P16" s="788"/>
      <c r="Q16" s="788"/>
      <c r="R16" s="788"/>
      <c r="S16" s="788"/>
      <c r="T16" s="788"/>
      <c r="U16" s="788"/>
      <c r="V16" s="788"/>
      <c r="W16" s="788"/>
      <c r="X16" s="788"/>
      <c r="Y16" s="788"/>
      <c r="Z16" s="870"/>
      <c r="AA16" s="870"/>
      <c r="AB16" s="870"/>
      <c r="AC16" s="870"/>
      <c r="AD16" s="870"/>
      <c r="AF16" s="862">
        <f>[1]Paramètres!E13</f>
        <v>2.25</v>
      </c>
      <c r="AG16" s="862"/>
      <c r="AH16" s="862"/>
      <c r="AI16" s="862"/>
      <c r="AJ16" s="862"/>
      <c r="AV16" s="153"/>
      <c r="AX16" s="154"/>
      <c r="AY16" s="154"/>
      <c r="AZ16" s="154"/>
      <c r="BA16" s="154"/>
      <c r="BB16" s="154"/>
      <c r="BC16" s="154"/>
      <c r="BD16" s="358"/>
      <c r="BE16" s="358"/>
      <c r="BF16" s="352"/>
      <c r="BH16" s="549"/>
      <c r="BI16" s="872" t="s">
        <v>540</v>
      </c>
      <c r="BJ16" s="872"/>
      <c r="BK16" s="872"/>
      <c r="BL16" s="872"/>
      <c r="BM16" s="872"/>
      <c r="BN16" s="872"/>
      <c r="BO16" s="872"/>
      <c r="BP16" s="872"/>
      <c r="BQ16" s="872"/>
      <c r="BR16" s="872"/>
      <c r="BS16" s="872"/>
      <c r="BT16" s="872"/>
      <c r="BU16" s="872"/>
      <c r="BV16" s="872"/>
      <c r="BW16" s="872"/>
      <c r="BX16" s="872"/>
      <c r="BY16" s="872"/>
      <c r="BZ16" s="872"/>
      <c r="CA16" s="872"/>
      <c r="CB16" s="872"/>
      <c r="CC16" s="872"/>
      <c r="CD16" s="872"/>
      <c r="CE16" s="872"/>
      <c r="CF16" s="872"/>
      <c r="CG16" s="872"/>
      <c r="CH16" s="872"/>
      <c r="CI16" s="872"/>
      <c r="CJ16" s="872"/>
      <c r="CK16" s="872"/>
      <c r="CL16" s="872"/>
      <c r="CM16" s="872"/>
      <c r="CN16" s="872"/>
      <c r="CO16" s="872"/>
      <c r="CP16" s="551"/>
      <c r="CQ16" s="336"/>
      <c r="CR16" s="336"/>
      <c r="CS16" s="336"/>
      <c r="CT16" s="565"/>
      <c r="CU16" s="563"/>
      <c r="CV16" s="563"/>
      <c r="CW16" s="563"/>
      <c r="CX16" s="550"/>
      <c r="CY16" s="563"/>
      <c r="CZ16" s="563"/>
      <c r="DA16" s="563"/>
      <c r="DB16" s="550"/>
      <c r="DC16" s="708" t="s">
        <v>540</v>
      </c>
      <c r="DD16" s="708"/>
      <c r="DE16" s="708"/>
      <c r="DF16" s="708"/>
      <c r="DG16" s="708"/>
      <c r="DH16" s="708"/>
      <c r="DI16" s="708"/>
      <c r="DJ16" s="708"/>
      <c r="DK16" s="708"/>
      <c r="DL16" s="708"/>
      <c r="DM16" s="708"/>
      <c r="DN16" s="708"/>
      <c r="DO16" s="708"/>
      <c r="DP16" s="708"/>
      <c r="DQ16" s="708"/>
      <c r="DR16" s="708"/>
      <c r="DS16" s="708"/>
      <c r="DT16" s="708"/>
      <c r="DU16" s="708"/>
      <c r="DV16" s="708"/>
      <c r="DW16" s="708"/>
      <c r="DX16" s="708"/>
      <c r="DY16" s="709"/>
      <c r="DZ16" s="336"/>
      <c r="EA16" s="336"/>
      <c r="EB16" s="336"/>
      <c r="EC16" s="336"/>
      <c r="ED16" s="336"/>
      <c r="EE16" s="336"/>
      <c r="EF16" s="336"/>
      <c r="EG16" s="336"/>
      <c r="EH16" s="336"/>
      <c r="EI16" s="336"/>
      <c r="EJ16" s="336"/>
      <c r="EK16" s="336"/>
      <c r="EL16" s="326" t="s">
        <v>540</v>
      </c>
      <c r="EM16" s="336"/>
      <c r="EN16" s="336"/>
      <c r="EO16" s="336"/>
      <c r="EP16" s="336"/>
    </row>
    <row r="17" spans="1:324" s="348" customFormat="1" ht="15" customHeight="1" x14ac:dyDescent="0.25">
      <c r="A17" s="151"/>
      <c r="B17" s="151"/>
      <c r="C17" s="73" t="str">
        <f>$C14&amp;".3"</f>
        <v>1.2.3</v>
      </c>
      <c r="D17" s="152"/>
      <c r="E17" s="21"/>
      <c r="F17" s="349"/>
      <c r="G17" s="150"/>
      <c r="H17" s="150"/>
      <c r="I17" s="150"/>
      <c r="J17" s="379"/>
      <c r="K17" s="350" t="str">
        <f>CONCATENATE($B$2,".",$C17,".")</f>
        <v>2.1.2.3.</v>
      </c>
      <c r="L17" s="864" t="s">
        <v>746</v>
      </c>
      <c r="M17" s="864"/>
      <c r="N17" s="864"/>
      <c r="O17" s="864"/>
      <c r="P17" s="864"/>
      <c r="Q17" s="864"/>
      <c r="R17" s="864"/>
      <c r="S17" s="864"/>
      <c r="T17" s="864"/>
      <c r="U17" s="864"/>
      <c r="V17" s="864"/>
      <c r="W17" s="864"/>
      <c r="X17" s="864"/>
      <c r="Y17" s="864"/>
      <c r="Z17" s="863"/>
      <c r="AA17" s="863"/>
      <c r="AB17" s="863"/>
      <c r="AC17" s="863"/>
      <c r="AD17" s="863"/>
      <c r="AF17" s="862">
        <f>[1]Paramètres!E12</f>
        <v>2.71</v>
      </c>
      <c r="AG17" s="862"/>
      <c r="AH17" s="862"/>
      <c r="AI17" s="862"/>
      <c r="AJ17" s="862"/>
      <c r="AV17" s="153"/>
      <c r="AX17" s="154"/>
      <c r="AY17" s="154"/>
      <c r="AZ17" s="154"/>
      <c r="BA17" s="154"/>
      <c r="BB17" s="154"/>
      <c r="BC17" s="154"/>
      <c r="BD17" s="358"/>
      <c r="BE17" s="358"/>
      <c r="BF17" s="352"/>
      <c r="BH17" s="562"/>
      <c r="BI17" s="550"/>
      <c r="BJ17" s="563"/>
      <c r="BK17" s="563"/>
      <c r="BL17" s="563"/>
      <c r="BM17" s="563"/>
      <c r="BN17" s="563"/>
      <c r="BO17" s="563"/>
      <c r="BP17" s="563"/>
      <c r="BQ17" s="871" t="s">
        <v>285</v>
      </c>
      <c r="BR17" s="871"/>
      <c r="BS17" s="871"/>
      <c r="BT17" s="871"/>
      <c r="BU17" s="871"/>
      <c r="BV17" s="871"/>
      <c r="BW17" s="871"/>
      <c r="BX17" s="871"/>
      <c r="BY17" s="871"/>
      <c r="BZ17" s="871"/>
      <c r="CA17" s="871"/>
      <c r="CB17" s="871"/>
      <c r="CC17" s="871"/>
      <c r="CD17" s="871"/>
      <c r="CE17" s="871"/>
      <c r="CF17" s="871"/>
      <c r="CG17" s="871"/>
      <c r="CH17" s="871"/>
      <c r="CI17" s="871"/>
      <c r="CJ17" s="550"/>
      <c r="CK17" s="550"/>
      <c r="CL17" s="708" t="s">
        <v>285</v>
      </c>
      <c r="CM17" s="708"/>
      <c r="CN17" s="708"/>
      <c r="CO17" s="708"/>
      <c r="CP17" s="709"/>
      <c r="CQ17" s="336"/>
      <c r="CR17" s="336"/>
      <c r="CS17" s="336"/>
      <c r="CT17" s="566"/>
      <c r="CU17" s="336"/>
      <c r="CV17" s="336"/>
      <c r="CW17" s="336"/>
      <c r="CY17" s="336"/>
      <c r="CZ17" s="336"/>
      <c r="DA17" s="336"/>
      <c r="DB17" s="710" t="s">
        <v>286</v>
      </c>
      <c r="DC17" s="710"/>
      <c r="DD17" s="710"/>
      <c r="DE17" s="710"/>
      <c r="DF17" s="710"/>
      <c r="DG17" s="710"/>
      <c r="DH17" s="710"/>
      <c r="DI17" s="710"/>
      <c r="DJ17" s="710"/>
      <c r="DK17" s="710"/>
      <c r="DL17" s="710"/>
      <c r="DM17" s="710"/>
      <c r="DN17" s="710"/>
      <c r="DO17" s="710"/>
      <c r="DP17" s="710"/>
      <c r="DQ17" s="710"/>
      <c r="DR17" s="710"/>
      <c r="DS17" s="710"/>
      <c r="DT17" s="710"/>
      <c r="DV17" s="710" t="s">
        <v>286</v>
      </c>
      <c r="DW17" s="710"/>
      <c r="DX17" s="710"/>
      <c r="DY17" s="893"/>
      <c r="DZ17" s="336"/>
      <c r="EA17" s="336"/>
      <c r="EB17" s="336"/>
      <c r="EC17" s="336"/>
      <c r="ED17" s="336"/>
      <c r="EE17" s="336"/>
      <c r="EF17" s="336"/>
      <c r="EG17" s="336"/>
      <c r="EH17" s="336"/>
      <c r="EI17" s="336"/>
      <c r="EJ17" s="336"/>
      <c r="EK17" s="336"/>
      <c r="EL17" s="326" t="s">
        <v>287</v>
      </c>
      <c r="EM17" s="336"/>
      <c r="EN17" s="336"/>
      <c r="EO17" s="336"/>
      <c r="EP17" s="336"/>
      <c r="ER17" s="710" t="s">
        <v>287</v>
      </c>
      <c r="ES17" s="710"/>
      <c r="ET17" s="710"/>
      <c r="EU17" s="710"/>
      <c r="EV17" s="710"/>
      <c r="EW17" s="710"/>
      <c r="KC17"/>
    </row>
    <row r="18" spans="1:324" ht="15" customHeight="1" x14ac:dyDescent="0.25">
      <c r="A18" s="19"/>
      <c r="B18" s="19"/>
      <c r="C18" s="72" t="s">
        <v>750</v>
      </c>
      <c r="D18" s="73"/>
      <c r="E18" s="21"/>
      <c r="F18" s="342"/>
      <c r="G18" s="19"/>
      <c r="H18" s="19"/>
      <c r="K18" s="350" t="str">
        <f>CONCATENATE($B$2,".",$C18,".")</f>
        <v>2.1.2.4.</v>
      </c>
      <c r="L18" s="864" t="s">
        <v>748</v>
      </c>
      <c r="M18" s="864"/>
      <c r="N18" s="864"/>
      <c r="O18" s="864"/>
      <c r="P18" s="864"/>
      <c r="Q18" s="864"/>
      <c r="R18" s="864"/>
      <c r="S18" s="864"/>
      <c r="T18" s="864"/>
      <c r="U18" s="864"/>
      <c r="V18" s="864"/>
      <c r="W18" s="864"/>
      <c r="X18" s="864"/>
      <c r="Y18" s="864"/>
      <c r="Z18" s="863"/>
      <c r="AA18" s="863"/>
      <c r="AB18" s="863"/>
      <c r="AC18" s="863"/>
      <c r="AD18" s="863"/>
      <c r="AF18" s="862">
        <f>[1]Paramètres!E11</f>
        <v>2.2000000000000002</v>
      </c>
      <c r="AG18" s="862"/>
      <c r="AH18" s="862"/>
      <c r="AI18" s="862"/>
      <c r="AJ18" s="862"/>
      <c r="AK18" s="277"/>
      <c r="AV18" s="153"/>
      <c r="AW18" s="348"/>
      <c r="AX18" s="142"/>
      <c r="AY18" s="142"/>
      <c r="AZ18" s="142"/>
      <c r="BA18" s="142"/>
      <c r="BB18" s="142"/>
      <c r="BC18" s="142"/>
      <c r="BF18" s="342"/>
      <c r="BH18" s="368"/>
      <c r="BI18" s="348"/>
      <c r="BJ18" s="348"/>
      <c r="BK18" s="348"/>
      <c r="BL18" s="348"/>
      <c r="BM18" s="348"/>
      <c r="BN18" s="348"/>
      <c r="BO18" s="348"/>
      <c r="BP18" s="348"/>
      <c r="BQ18" s="717" t="s">
        <v>535</v>
      </c>
      <c r="BR18" s="717"/>
      <c r="BS18" s="717"/>
      <c r="BT18" s="717"/>
      <c r="BU18" s="348"/>
      <c r="BV18" s="717" t="s">
        <v>533</v>
      </c>
      <c r="BW18" s="717"/>
      <c r="BX18" s="717"/>
      <c r="BY18" s="717"/>
      <c r="BZ18" s="348"/>
      <c r="CA18" s="379" t="s">
        <v>752</v>
      </c>
      <c r="CB18" s="348"/>
      <c r="CC18" s="348"/>
      <c r="CD18" s="348"/>
      <c r="CE18" s="348"/>
      <c r="CF18" s="832" t="s">
        <v>751</v>
      </c>
      <c r="CG18" s="717"/>
      <c r="CH18" s="717"/>
      <c r="CI18" s="717"/>
      <c r="CJ18" s="556"/>
      <c r="CL18" s="717" t="s">
        <v>276</v>
      </c>
      <c r="CM18" s="717"/>
      <c r="CN18" s="717"/>
      <c r="CO18" s="717"/>
      <c r="CP18" s="329"/>
      <c r="CT18" s="368"/>
      <c r="CU18" s="348"/>
      <c r="CV18" s="348"/>
      <c r="CW18" s="348"/>
      <c r="CX18" s="348"/>
      <c r="CY18" s="348"/>
      <c r="CZ18" s="348"/>
      <c r="DA18" s="348"/>
      <c r="DB18" s="717" t="s">
        <v>535</v>
      </c>
      <c r="DC18" s="717"/>
      <c r="DD18" s="717"/>
      <c r="DE18" s="717"/>
      <c r="DF18" s="348"/>
      <c r="DG18" s="717" t="s">
        <v>533</v>
      </c>
      <c r="DH18" s="717"/>
      <c r="DI18" s="717"/>
      <c r="DJ18" s="717"/>
      <c r="DK18" s="348"/>
      <c r="DL18" s="832" t="s">
        <v>752</v>
      </c>
      <c r="DM18" s="717"/>
      <c r="DN18" s="717"/>
      <c r="DO18" s="717"/>
      <c r="DP18" s="547"/>
      <c r="DQ18" s="832" t="s">
        <v>751</v>
      </c>
      <c r="DR18" s="832"/>
      <c r="DS18" s="832"/>
      <c r="DT18" s="832"/>
      <c r="DV18" s="717" t="s">
        <v>276</v>
      </c>
      <c r="DW18" s="717"/>
      <c r="DX18" s="717"/>
      <c r="DY18" s="892"/>
      <c r="ED18" s="348"/>
      <c r="EE18" s="348"/>
      <c r="EF18" s="348"/>
      <c r="EG18" s="348"/>
      <c r="EH18" s="348"/>
      <c r="EI18" s="348"/>
      <c r="EJ18" s="348"/>
      <c r="EK18" s="348"/>
      <c r="EL18" s="717" t="s">
        <v>535</v>
      </c>
      <c r="EM18" s="717"/>
      <c r="EN18" s="717"/>
      <c r="EO18" s="717"/>
      <c r="EP18" s="348"/>
      <c r="EQ18" s="717" t="s">
        <v>533</v>
      </c>
      <c r="ER18" s="717"/>
      <c r="ES18" s="717"/>
      <c r="ET18" s="717"/>
      <c r="EU18" s="348"/>
      <c r="EV18" s="832" t="s">
        <v>752</v>
      </c>
      <c r="EW18" s="717"/>
      <c r="EX18" s="717"/>
      <c r="EY18" s="717"/>
      <c r="EZ18" s="547"/>
      <c r="FA18" s="832" t="s">
        <v>751</v>
      </c>
      <c r="FB18" s="832"/>
      <c r="FC18" s="832"/>
      <c r="FD18" s="832"/>
      <c r="FF18" s="717" t="s">
        <v>276</v>
      </c>
      <c r="FG18" s="717"/>
      <c r="FH18" s="717"/>
      <c r="FI18" s="717"/>
    </row>
    <row r="19" spans="1:324" s="351" customFormat="1" ht="15" customHeight="1" x14ac:dyDescent="0.25">
      <c r="A19" s="148"/>
      <c r="B19" s="148"/>
      <c r="C19" s="73"/>
      <c r="D19" s="149"/>
      <c r="E19" s="21"/>
      <c r="F19" s="349"/>
      <c r="G19" s="150"/>
      <c r="H19" s="150"/>
      <c r="AI19" s="142"/>
      <c r="AJ19" s="142"/>
      <c r="AK19" s="142"/>
      <c r="AL19" s="142"/>
      <c r="AM19" s="142"/>
      <c r="AN19" s="142"/>
      <c r="AO19" s="142"/>
      <c r="AP19" s="155"/>
      <c r="AQ19" s="155"/>
      <c r="AR19" s="155"/>
      <c r="AS19" s="155"/>
      <c r="AT19" s="155"/>
      <c r="AU19" s="155"/>
      <c r="AV19" s="155"/>
      <c r="AW19" s="155"/>
      <c r="AX19" s="155"/>
      <c r="AY19" s="155"/>
      <c r="AZ19" s="155"/>
      <c r="BA19" s="155"/>
      <c r="BB19" s="155"/>
      <c r="BC19" s="155"/>
      <c r="BD19" s="348"/>
      <c r="BE19" s="348"/>
      <c r="BF19" s="349"/>
      <c r="BH19" s="368"/>
      <c r="BI19" s="701" t="str">
        <f>I37</f>
        <v>Papier et carton</v>
      </c>
      <c r="BJ19" s="701"/>
      <c r="BK19" s="701"/>
      <c r="BL19" s="701"/>
      <c r="BM19" s="701"/>
      <c r="BN19" s="701"/>
      <c r="BO19" s="701"/>
      <c r="BP19" s="701"/>
      <c r="BQ19" s="716">
        <f>(res_pers_multi*Paramètres!E25)/1000</f>
        <v>0</v>
      </c>
      <c r="BR19" s="716"/>
      <c r="BS19" s="716"/>
      <c r="BT19" s="716"/>
      <c r="BU19" s="558"/>
      <c r="BV19" s="716">
        <f>(res_pers_plex*Paramètres!F25)/1000</f>
        <v>0</v>
      </c>
      <c r="BW19" s="716"/>
      <c r="BX19" s="716"/>
      <c r="BY19" s="716"/>
      <c r="BZ19" s="558"/>
      <c r="CA19" s="716">
        <f>(res_pers_uni_u*Paramètres!G25)/1000</f>
        <v>0</v>
      </c>
      <c r="CB19" s="716"/>
      <c r="CC19" s="716"/>
      <c r="CD19" s="716"/>
      <c r="CE19" s="558"/>
      <c r="CF19" s="716">
        <f>(res_pers_uni_r*Paramètres!H25)/1000</f>
        <v>0</v>
      </c>
      <c r="CG19" s="716"/>
      <c r="CH19" s="716"/>
      <c r="CI19" s="716"/>
      <c r="CJ19" s="559"/>
      <c r="CK19" s="560"/>
      <c r="CL19" s="716">
        <f>SUM(BQ19,BV19,CF19,CA19)</f>
        <v>0</v>
      </c>
      <c r="CM19" s="716"/>
      <c r="CN19" s="716"/>
      <c r="CO19" s="716"/>
      <c r="CP19" s="552"/>
      <c r="CT19" s="692" t="str">
        <f>I37</f>
        <v>Papier et carton</v>
      </c>
      <c r="CU19" s="693"/>
      <c r="CV19" s="693"/>
      <c r="CW19" s="693"/>
      <c r="CX19" s="693"/>
      <c r="CY19" s="693"/>
      <c r="CZ19" s="693"/>
      <c r="DA19" s="693"/>
      <c r="DB19" s="711">
        <f>(res_pers_multi*Paramètres!E52)/1000</f>
        <v>0</v>
      </c>
      <c r="DC19" s="711"/>
      <c r="DD19" s="711"/>
      <c r="DE19" s="711"/>
      <c r="DF19" s="348"/>
      <c r="DG19" s="711">
        <f>(res_pers_plex*Paramètres!F52)/1000</f>
        <v>0</v>
      </c>
      <c r="DH19" s="711"/>
      <c r="DI19" s="711"/>
      <c r="DJ19" s="711"/>
      <c r="DK19" s="348"/>
      <c r="DL19" s="711">
        <f>(res_pers_uni_u*Paramètres!G52)/1000</f>
        <v>0</v>
      </c>
      <c r="DM19" s="711"/>
      <c r="DN19" s="711"/>
      <c r="DO19" s="711"/>
      <c r="DP19" s="564"/>
      <c r="DQ19" s="695">
        <f>(res_pers_uni_r*Paramètres!H52)/1000</f>
        <v>0</v>
      </c>
      <c r="DR19" s="695"/>
      <c r="DS19" s="695"/>
      <c r="DT19" s="695"/>
      <c r="DV19" s="711">
        <f>SUM(DB19,DG19,DL19,DQ19)</f>
        <v>0</v>
      </c>
      <c r="DW19" s="711"/>
      <c r="DX19" s="711"/>
      <c r="DY19" s="712"/>
      <c r="ED19" s="693" t="str">
        <f>AH37</f>
        <v>Papier et carton</v>
      </c>
      <c r="EE19" s="693"/>
      <c r="EF19" s="693"/>
      <c r="EG19" s="693"/>
      <c r="EH19" s="693"/>
      <c r="EI19" s="693"/>
      <c r="EJ19" s="693"/>
      <c r="EK19" s="693"/>
      <c r="EL19" s="711">
        <f>SUM(BQ19,DB19)</f>
        <v>0</v>
      </c>
      <c r="EM19" s="711"/>
      <c r="EN19" s="711"/>
      <c r="EO19" s="711"/>
      <c r="EP19" s="348"/>
      <c r="EQ19" s="711">
        <f>SUM(BV19,DG19)</f>
        <v>0</v>
      </c>
      <c r="ER19" s="711"/>
      <c r="ES19" s="711"/>
      <c r="ET19" s="711"/>
      <c r="EU19" s="348"/>
      <c r="EV19" s="711">
        <f>SUM(CA19,DL19)</f>
        <v>0</v>
      </c>
      <c r="EW19" s="711"/>
      <c r="EX19" s="711"/>
      <c r="EY19" s="711"/>
      <c r="EZ19" s="564"/>
      <c r="FA19" s="695">
        <f>SUM(CF19,DQ19)</f>
        <v>0</v>
      </c>
      <c r="FB19" s="695"/>
      <c r="FC19" s="695"/>
      <c r="FD19" s="695"/>
      <c r="FF19" s="711">
        <f>SUM(EL19,EQ19,EV19,FA19)</f>
        <v>0</v>
      </c>
      <c r="FG19" s="711"/>
      <c r="FH19" s="711"/>
      <c r="FI19" s="711"/>
    </row>
    <row r="20" spans="1:324" s="351" customFormat="1" ht="11.25" customHeight="1" x14ac:dyDescent="0.25">
      <c r="A20" s="150"/>
      <c r="B20" s="150"/>
      <c r="C20" s="73"/>
      <c r="D20" s="156"/>
      <c r="E20" s="157"/>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H20" s="368"/>
      <c r="BI20" s="693" t="str">
        <f>I38</f>
        <v>Métal</v>
      </c>
      <c r="BJ20" s="693"/>
      <c r="BK20" s="693"/>
      <c r="BL20" s="693"/>
      <c r="BM20" s="693"/>
      <c r="BN20" s="693"/>
      <c r="BO20" s="693"/>
      <c r="BP20" s="693"/>
      <c r="BQ20" s="694">
        <f>(res_pers_multi*Paramètres!E26)/1000</f>
        <v>0</v>
      </c>
      <c r="BR20" s="694"/>
      <c r="BS20" s="694"/>
      <c r="BT20" s="694"/>
      <c r="BU20" s="348"/>
      <c r="BV20" s="694">
        <f>(res_pers_plex*Paramètres!F26)/1000</f>
        <v>0</v>
      </c>
      <c r="BW20" s="694"/>
      <c r="BX20" s="694"/>
      <c r="BY20" s="694"/>
      <c r="BZ20" s="348"/>
      <c r="CA20" s="694">
        <f>(res_pers_uni_u*Paramètres!G26)/1000</f>
        <v>0</v>
      </c>
      <c r="CB20" s="694"/>
      <c r="CC20" s="694"/>
      <c r="CD20" s="694"/>
      <c r="CE20" s="348"/>
      <c r="CF20" s="694">
        <f>(res_pers_uni_r*Paramètres!H26)/1000</f>
        <v>0</v>
      </c>
      <c r="CG20" s="694"/>
      <c r="CH20" s="694"/>
      <c r="CI20" s="694"/>
      <c r="CJ20" s="556"/>
      <c r="CL20" s="694">
        <f>SUM(BQ20,BV20,CF20, CA20)</f>
        <v>0</v>
      </c>
      <c r="CM20" s="694"/>
      <c r="CN20" s="694"/>
      <c r="CO20" s="694"/>
      <c r="CP20" s="552"/>
      <c r="CT20" s="692" t="str">
        <f>I38</f>
        <v>Métal</v>
      </c>
      <c r="CU20" s="693"/>
      <c r="CV20" s="693"/>
      <c r="CW20" s="693"/>
      <c r="CX20" s="693"/>
      <c r="CY20" s="693"/>
      <c r="CZ20" s="693"/>
      <c r="DA20" s="693"/>
      <c r="DB20" s="711">
        <f>(res_pers_multi*Paramètres!E53)/1000</f>
        <v>0</v>
      </c>
      <c r="DC20" s="711"/>
      <c r="DD20" s="711"/>
      <c r="DE20" s="711"/>
      <c r="DF20" s="348"/>
      <c r="DG20" s="711">
        <f>(res_pers_plex*Paramètres!F53)/1000</f>
        <v>0</v>
      </c>
      <c r="DH20" s="711"/>
      <c r="DI20" s="711"/>
      <c r="DJ20" s="711"/>
      <c r="DK20" s="348"/>
      <c r="DL20" s="711">
        <f>(res_pers_uni_u*Paramètres!G53)/1000</f>
        <v>0</v>
      </c>
      <c r="DM20" s="711"/>
      <c r="DN20" s="711"/>
      <c r="DO20" s="711"/>
      <c r="DP20" s="564"/>
      <c r="DQ20" s="695">
        <f>(res_pers_uni_r*Paramètres!H53)/1000</f>
        <v>0</v>
      </c>
      <c r="DR20" s="695"/>
      <c r="DS20" s="695"/>
      <c r="DT20" s="695"/>
      <c r="DV20" s="711">
        <f>SUM(DB20,DG20,DL20,DQ20)</f>
        <v>0</v>
      </c>
      <c r="DW20" s="711"/>
      <c r="DX20" s="711"/>
      <c r="DY20" s="712"/>
      <c r="ED20" s="693" t="str">
        <f>AH38</f>
        <v>Métal</v>
      </c>
      <c r="EE20" s="693"/>
      <c r="EF20" s="693"/>
      <c r="EG20" s="693"/>
      <c r="EH20" s="693"/>
      <c r="EI20" s="693"/>
      <c r="EJ20" s="693"/>
      <c r="EK20" s="693"/>
      <c r="EL20" s="711">
        <f>SUM(BQ20,DB20)</f>
        <v>0</v>
      </c>
      <c r="EM20" s="711"/>
      <c r="EN20" s="711"/>
      <c r="EO20" s="711"/>
      <c r="EP20" s="348"/>
      <c r="EQ20" s="711">
        <f>SUM(BV20,DG20)</f>
        <v>0</v>
      </c>
      <c r="ER20" s="711"/>
      <c r="ES20" s="711"/>
      <c r="ET20" s="711"/>
      <c r="EU20" s="348"/>
      <c r="EV20" s="711">
        <f>SUM(CA20,DL20)</f>
        <v>0</v>
      </c>
      <c r="EW20" s="711"/>
      <c r="EX20" s="711"/>
      <c r="EY20" s="711"/>
      <c r="EZ20" s="564"/>
      <c r="FA20" s="695">
        <f>SUM(CF20,DQ20)</f>
        <v>0</v>
      </c>
      <c r="FB20" s="695"/>
      <c r="FC20" s="695"/>
      <c r="FD20" s="695"/>
      <c r="FF20" s="711">
        <f>SUM(EL20,EQ20,EV20,FA20)</f>
        <v>0</v>
      </c>
      <c r="FG20" s="711"/>
      <c r="FH20" s="711"/>
      <c r="FI20" s="711"/>
    </row>
    <row r="21" spans="1:324" s="351" customFormat="1" ht="11.25" customHeight="1" x14ac:dyDescent="0.25">
      <c r="A21" s="150"/>
      <c r="B21" s="150"/>
      <c r="C21" s="73"/>
      <c r="D21" s="156"/>
      <c r="E21" s="157"/>
      <c r="F21" s="352"/>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9"/>
      <c r="AX21" s="579"/>
      <c r="AY21" s="579"/>
      <c r="AZ21" s="579"/>
      <c r="BA21" s="579"/>
      <c r="BB21" s="579"/>
      <c r="BC21" s="579"/>
      <c r="BD21" s="579"/>
      <c r="BE21" s="579"/>
      <c r="BF21" s="352"/>
      <c r="BH21" s="368"/>
      <c r="BI21" s="143"/>
      <c r="BJ21" s="143"/>
      <c r="BK21" s="143"/>
      <c r="BL21" s="143"/>
      <c r="BM21" s="143"/>
      <c r="BN21" s="143"/>
      <c r="BO21" s="143"/>
      <c r="BP21" s="143"/>
      <c r="BQ21" s="578"/>
      <c r="BR21" s="578"/>
      <c r="BS21" s="578"/>
      <c r="BT21" s="578"/>
      <c r="BU21" s="348"/>
      <c r="BV21" s="578"/>
      <c r="BW21" s="578"/>
      <c r="BX21" s="578"/>
      <c r="BY21" s="578"/>
      <c r="BZ21" s="348"/>
      <c r="CA21" s="578"/>
      <c r="CB21" s="578"/>
      <c r="CC21" s="578"/>
      <c r="CD21" s="578"/>
      <c r="CE21" s="348"/>
      <c r="CF21" s="578"/>
      <c r="CG21" s="578"/>
      <c r="CH21" s="578"/>
      <c r="CI21" s="578"/>
      <c r="CJ21" s="556"/>
      <c r="CL21" s="578"/>
      <c r="CM21" s="578"/>
      <c r="CN21" s="578"/>
      <c r="CO21" s="578"/>
      <c r="CP21" s="552"/>
      <c r="CT21" s="511"/>
      <c r="CU21" s="143"/>
      <c r="CV21" s="143"/>
      <c r="CW21" s="143"/>
      <c r="CX21" s="143"/>
      <c r="CY21" s="143"/>
      <c r="CZ21" s="143"/>
      <c r="DA21" s="143"/>
      <c r="DB21" s="313"/>
      <c r="DC21" s="313"/>
      <c r="DD21" s="313"/>
      <c r="DE21" s="313"/>
      <c r="DF21" s="348"/>
      <c r="DG21" s="313"/>
      <c r="DH21" s="313"/>
      <c r="DI21" s="313"/>
      <c r="DJ21" s="313"/>
      <c r="DK21" s="348"/>
      <c r="DL21" s="313"/>
      <c r="DM21" s="313"/>
      <c r="DN21" s="313"/>
      <c r="DO21" s="313"/>
      <c r="DP21" s="564"/>
      <c r="DQ21" s="577"/>
      <c r="DR21" s="577"/>
      <c r="DS21" s="577"/>
      <c r="DT21" s="577"/>
      <c r="DV21" s="313"/>
      <c r="DW21" s="313"/>
      <c r="DX21" s="313"/>
      <c r="DY21" s="567"/>
      <c r="ED21" s="143"/>
      <c r="EE21" s="143"/>
      <c r="EF21" s="143"/>
      <c r="EG21" s="143"/>
      <c r="EH21" s="143"/>
      <c r="EI21" s="143"/>
      <c r="EJ21" s="143"/>
      <c r="EK21" s="143"/>
      <c r="EL21" s="313"/>
      <c r="EM21" s="313"/>
      <c r="EN21" s="313"/>
      <c r="EO21" s="313"/>
      <c r="EP21" s="348"/>
      <c r="EQ21" s="313"/>
      <c r="ER21" s="313"/>
      <c r="ES21" s="313"/>
      <c r="ET21" s="313"/>
      <c r="EU21" s="348"/>
      <c r="EV21" s="313"/>
      <c r="EW21" s="313"/>
      <c r="EX21" s="313"/>
      <c r="EY21" s="313"/>
      <c r="EZ21" s="564"/>
      <c r="FA21" s="577"/>
      <c r="FB21" s="577"/>
      <c r="FC21" s="577"/>
      <c r="FD21" s="577"/>
      <c r="FF21" s="313"/>
      <c r="FG21" s="313"/>
      <c r="FH21" s="313"/>
      <c r="FI21" s="313"/>
    </row>
    <row r="22" spans="1:324" s="351" customFormat="1" ht="17.25" customHeight="1" thickBot="1" x14ac:dyDescent="0.3">
      <c r="A22" s="150"/>
      <c r="B22" s="150"/>
      <c r="C22" s="73"/>
      <c r="D22" s="156"/>
      <c r="E22" s="157"/>
      <c r="F22" s="352"/>
      <c r="G22" s="19"/>
      <c r="H22" s="12"/>
      <c r="I22" s="346" t="str">
        <f>CONCATENATE($B$2,".",$C24,".")</f>
        <v>2.2.</v>
      </c>
      <c r="J22" s="347" t="s">
        <v>465</v>
      </c>
      <c r="K22" s="174"/>
      <c r="L22" s="174"/>
      <c r="M22" s="174"/>
      <c r="N22" s="174"/>
      <c r="O22" s="174"/>
      <c r="P22" s="174"/>
      <c r="Q22" s="174"/>
      <c r="R22" s="1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c r="BF22" s="352"/>
      <c r="BH22" s="368"/>
      <c r="BI22" s="143"/>
      <c r="BJ22" s="143"/>
      <c r="BK22" s="143"/>
      <c r="BL22" s="143"/>
      <c r="BM22" s="143"/>
      <c r="BN22" s="143"/>
      <c r="BO22" s="143"/>
      <c r="BP22" s="143"/>
      <c r="BQ22" s="578"/>
      <c r="BR22" s="578"/>
      <c r="BS22" s="578"/>
      <c r="BT22" s="578"/>
      <c r="BU22" s="348"/>
      <c r="BV22" s="578"/>
      <c r="BW22" s="578"/>
      <c r="BX22" s="578"/>
      <c r="BY22" s="578"/>
      <c r="BZ22" s="348"/>
      <c r="CA22" s="578"/>
      <c r="CB22" s="578"/>
      <c r="CC22" s="578"/>
      <c r="CD22" s="578"/>
      <c r="CE22" s="348"/>
      <c r="CF22" s="578"/>
      <c r="CG22" s="578"/>
      <c r="CH22" s="578"/>
      <c r="CI22" s="578"/>
      <c r="CJ22" s="556"/>
      <c r="CL22" s="578"/>
      <c r="CM22" s="578"/>
      <c r="CN22" s="578"/>
      <c r="CO22" s="578"/>
      <c r="CP22" s="552"/>
      <c r="CT22" s="511"/>
      <c r="CU22" s="143"/>
      <c r="CV22" s="143"/>
      <c r="CW22" s="143"/>
      <c r="CX22" s="143"/>
      <c r="CY22" s="143"/>
      <c r="CZ22" s="143"/>
      <c r="DA22" s="143"/>
      <c r="DB22" s="313"/>
      <c r="DC22" s="313"/>
      <c r="DD22" s="313"/>
      <c r="DE22" s="313"/>
      <c r="DF22" s="348"/>
      <c r="DG22" s="313"/>
      <c r="DH22" s="313"/>
      <c r="DI22" s="313"/>
      <c r="DJ22" s="313"/>
      <c r="DK22" s="348"/>
      <c r="DL22" s="313"/>
      <c r="DM22" s="313"/>
      <c r="DN22" s="313"/>
      <c r="DO22" s="313"/>
      <c r="DP22" s="564"/>
      <c r="DQ22" s="577"/>
      <c r="DR22" s="577"/>
      <c r="DS22" s="577"/>
      <c r="DT22" s="577"/>
      <c r="DV22" s="313"/>
      <c r="DW22" s="313"/>
      <c r="DX22" s="313"/>
      <c r="DY22" s="567"/>
      <c r="ED22" s="143"/>
      <c r="EE22" s="143"/>
      <c r="EF22" s="143"/>
      <c r="EG22" s="143"/>
      <c r="EH22" s="143"/>
      <c r="EI22" s="143"/>
      <c r="EJ22" s="143"/>
      <c r="EK22" s="143"/>
      <c r="EL22" s="313"/>
      <c r="EM22" s="313"/>
      <c r="EN22" s="313"/>
      <c r="EO22" s="313"/>
      <c r="EP22" s="348"/>
      <c r="EQ22" s="313"/>
      <c r="ER22" s="313"/>
      <c r="ES22" s="313"/>
      <c r="ET22" s="313"/>
      <c r="EU22" s="348"/>
      <c r="EV22" s="313"/>
      <c r="EW22" s="313"/>
      <c r="EX22" s="313"/>
      <c r="EY22" s="313"/>
      <c r="EZ22" s="564"/>
      <c r="FA22" s="577"/>
      <c r="FB22" s="577"/>
      <c r="FC22" s="577"/>
      <c r="FD22" s="577"/>
      <c r="FF22" s="313"/>
      <c r="FG22" s="313"/>
      <c r="FH22" s="313"/>
      <c r="FI22" s="313"/>
    </row>
    <row r="23" spans="1:324" s="348" customFormat="1" ht="14.25" customHeight="1" x14ac:dyDescent="0.25">
      <c r="A23" s="150"/>
      <c r="B23" s="150"/>
      <c r="C23" s="156"/>
      <c r="D23" s="156"/>
      <c r="E23" s="157"/>
      <c r="F23" s="352"/>
      <c r="AI23" s="153"/>
      <c r="AJ23" s="153"/>
      <c r="AK23" s="153"/>
      <c r="AL23" s="957" t="s">
        <v>764</v>
      </c>
      <c r="AM23" s="958"/>
      <c r="AN23" s="958"/>
      <c r="AO23" s="958"/>
      <c r="AP23" s="958"/>
      <c r="AQ23" s="958"/>
      <c r="AR23" s="958"/>
      <c r="AS23" s="958"/>
      <c r="AT23" s="958"/>
      <c r="AU23" s="958"/>
      <c r="AV23" s="958"/>
      <c r="AW23" s="958"/>
      <c r="AX23" s="958"/>
      <c r="AY23" s="958"/>
      <c r="AZ23" s="958"/>
      <c r="BA23" s="958"/>
      <c r="BB23" s="958"/>
      <c r="BC23" s="959"/>
      <c r="BD23" s="358"/>
      <c r="BE23" s="358"/>
      <c r="BF23" s="352"/>
      <c r="BH23" s="368"/>
      <c r="BI23" s="691" t="str">
        <f>I39</f>
        <v>Plastique</v>
      </c>
      <c r="BJ23" s="691"/>
      <c r="BK23" s="691"/>
      <c r="BL23" s="691"/>
      <c r="BM23" s="691"/>
      <c r="BN23" s="691"/>
      <c r="BO23" s="691"/>
      <c r="BP23" s="691"/>
      <c r="BQ23" s="690">
        <f>(res_pers_multi*Paramètres!E27)/1000</f>
        <v>0</v>
      </c>
      <c r="BR23" s="690"/>
      <c r="BS23" s="690"/>
      <c r="BT23" s="690"/>
      <c r="BU23" s="388"/>
      <c r="BV23" s="690">
        <f>(res_pers_plex*Paramètres!F27)/1000</f>
        <v>0</v>
      </c>
      <c r="BW23" s="690"/>
      <c r="BX23" s="690"/>
      <c r="BY23" s="690"/>
      <c r="BZ23" s="388"/>
      <c r="CA23" s="690">
        <f>(res_pers_uni_u*Paramètres!G27)/1000</f>
        <v>0</v>
      </c>
      <c r="CB23" s="690"/>
      <c r="CC23" s="690"/>
      <c r="CD23" s="690"/>
      <c r="CE23" s="388"/>
      <c r="CF23" s="690">
        <f>(res_pers_uni_r*Paramètres!H27)/1000</f>
        <v>0</v>
      </c>
      <c r="CG23" s="690"/>
      <c r="CH23" s="690"/>
      <c r="CI23" s="690"/>
      <c r="CJ23" s="561"/>
      <c r="CK23" s="388"/>
      <c r="CL23" s="690">
        <f>SUM(BQ23,BV23,CF23,CA23)</f>
        <v>0</v>
      </c>
      <c r="CM23" s="690"/>
      <c r="CN23" s="690"/>
      <c r="CO23" s="690"/>
      <c r="CP23" s="369"/>
      <c r="CT23" s="692" t="str">
        <f>I39</f>
        <v>Plastique</v>
      </c>
      <c r="CU23" s="693"/>
      <c r="CV23" s="693"/>
      <c r="CW23" s="693"/>
      <c r="CX23" s="693"/>
      <c r="CY23" s="693"/>
      <c r="CZ23" s="693"/>
      <c r="DA23" s="693"/>
      <c r="DB23" s="711">
        <f>(res_pers_multi*Paramètres!E54)/1000</f>
        <v>0</v>
      </c>
      <c r="DC23" s="711"/>
      <c r="DD23" s="711"/>
      <c r="DE23" s="711"/>
      <c r="DG23" s="711">
        <f>(res_pers_plex*Paramètres!F54)/1000</f>
        <v>0</v>
      </c>
      <c r="DH23" s="711"/>
      <c r="DI23" s="711"/>
      <c r="DJ23" s="711"/>
      <c r="DL23" s="711">
        <f>(res_pers_uni_u*Paramètres!G54)/1000</f>
        <v>0</v>
      </c>
      <c r="DM23" s="711"/>
      <c r="DN23" s="711"/>
      <c r="DO23" s="711"/>
      <c r="DP23" s="564"/>
      <c r="DQ23" s="695">
        <f>(res_pers_uni_r*Paramètres!H54)/1000</f>
        <v>0</v>
      </c>
      <c r="DR23" s="695"/>
      <c r="DS23" s="695"/>
      <c r="DT23" s="695"/>
      <c r="DV23" s="711">
        <f>SUM(DB23,DG23,DL23,DQ23)</f>
        <v>0</v>
      </c>
      <c r="DW23" s="711"/>
      <c r="DX23" s="711"/>
      <c r="DY23" s="712"/>
      <c r="ED23" s="693" t="str">
        <f>AH39</f>
        <v>Plastique</v>
      </c>
      <c r="EE23" s="693"/>
      <c r="EF23" s="693"/>
      <c r="EG23" s="693"/>
      <c r="EH23" s="693"/>
      <c r="EI23" s="693"/>
      <c r="EJ23" s="693"/>
      <c r="EK23" s="693"/>
      <c r="EL23" s="711">
        <f>SUM(BQ23,DB23)</f>
        <v>0</v>
      </c>
      <c r="EM23" s="711"/>
      <c r="EN23" s="711"/>
      <c r="EO23" s="711"/>
      <c r="EQ23" s="711">
        <f>SUM(BV23,DG23)</f>
        <v>0</v>
      </c>
      <c r="ER23" s="711"/>
      <c r="ES23" s="711"/>
      <c r="ET23" s="711"/>
      <c r="EV23" s="711">
        <f>SUM(CA23,DL23)</f>
        <v>0</v>
      </c>
      <c r="EW23" s="711"/>
      <c r="EX23" s="711"/>
      <c r="EY23" s="711"/>
      <c r="EZ23" s="564"/>
      <c r="FA23" s="695">
        <f>SUM(CF23,DQ23)</f>
        <v>0</v>
      </c>
      <c r="FB23" s="695"/>
      <c r="FC23" s="695"/>
      <c r="FD23" s="695"/>
      <c r="FF23" s="711">
        <f>SUM(EL23,EQ23,EV23,FA23)</f>
        <v>0</v>
      </c>
      <c r="FG23" s="711"/>
      <c r="FH23" s="711"/>
      <c r="FI23" s="711"/>
      <c r="KB23" s="497"/>
      <c r="KC23" s="498"/>
      <c r="KD23" s="498"/>
      <c r="KE23" s="498"/>
      <c r="KF23" s="498"/>
      <c r="KG23" s="498"/>
      <c r="KH23" s="498"/>
      <c r="KI23" s="498"/>
      <c r="KJ23" s="498"/>
      <c r="KK23" s="498"/>
      <c r="KL23" s="498"/>
      <c r="KM23" s="498"/>
      <c r="KN23" s="499"/>
      <c r="KO23" s="497"/>
      <c r="KP23" s="498"/>
      <c r="KQ23" s="498"/>
      <c r="KR23" s="498"/>
      <c r="KS23" s="498"/>
      <c r="KT23" s="498"/>
      <c r="KU23" s="498"/>
      <c r="KV23" s="498"/>
      <c r="KW23" s="498"/>
      <c r="KX23" s="498"/>
      <c r="KY23" s="498"/>
      <c r="KZ23" s="499"/>
      <c r="LB23" s="498"/>
      <c r="LC23" s="498"/>
      <c r="LD23" s="498"/>
      <c r="LE23" s="498"/>
      <c r="LF23" s="498"/>
      <c r="LG23" s="498"/>
      <c r="LH23" s="498"/>
      <c r="LI23" s="498"/>
      <c r="LJ23" s="498"/>
      <c r="LK23" s="499"/>
    </row>
    <row r="24" spans="1:324" ht="13.5" customHeight="1" x14ac:dyDescent="0.25">
      <c r="A24" s="19"/>
      <c r="B24" s="19"/>
      <c r="C24" s="73">
        <v>2</v>
      </c>
      <c r="D24" s="73"/>
      <c r="E24" s="21"/>
      <c r="F24" s="342"/>
      <c r="S24" s="19"/>
      <c r="T24" s="19"/>
      <c r="U24" s="19"/>
      <c r="V24" s="19"/>
      <c r="W24" s="19"/>
      <c r="X24" s="19"/>
      <c r="Y24" s="19"/>
      <c r="Z24" s="19"/>
      <c r="AA24" s="19"/>
      <c r="AB24" s="19"/>
      <c r="AC24" s="19"/>
      <c r="AD24" s="19"/>
      <c r="AE24" s="19"/>
      <c r="AF24" s="19"/>
      <c r="AG24" s="19"/>
      <c r="AH24" s="19"/>
      <c r="AI24" s="19"/>
      <c r="AJ24" s="19"/>
      <c r="AK24" s="19"/>
      <c r="AL24" s="960"/>
      <c r="AM24" s="961"/>
      <c r="AN24" s="961"/>
      <c r="AO24" s="961"/>
      <c r="AP24" s="961"/>
      <c r="AQ24" s="961"/>
      <c r="AR24" s="961"/>
      <c r="AS24" s="961"/>
      <c r="AT24" s="961"/>
      <c r="AU24" s="961"/>
      <c r="AV24" s="961"/>
      <c r="AW24" s="961"/>
      <c r="AX24" s="961"/>
      <c r="AY24" s="961"/>
      <c r="AZ24" s="961"/>
      <c r="BA24" s="961"/>
      <c r="BB24" s="961"/>
      <c r="BC24" s="962"/>
      <c r="BD24" s="298"/>
      <c r="BF24" s="342"/>
      <c r="BH24" s="368"/>
      <c r="BI24" s="691" t="str">
        <f>I40</f>
        <v>Verre</v>
      </c>
      <c r="BJ24" s="691"/>
      <c r="BK24" s="691"/>
      <c r="BL24" s="691"/>
      <c r="BM24" s="691"/>
      <c r="BN24" s="691"/>
      <c r="BO24" s="691"/>
      <c r="BP24" s="691"/>
      <c r="BQ24" s="690">
        <f>(res_pers_multi*Paramètres!E28)/1000</f>
        <v>0</v>
      </c>
      <c r="BR24" s="690"/>
      <c r="BS24" s="690"/>
      <c r="BT24" s="690"/>
      <c r="BU24" s="388"/>
      <c r="BV24" s="690">
        <f>(res_pers_plex*Paramètres!F28)/1000</f>
        <v>0</v>
      </c>
      <c r="BW24" s="690"/>
      <c r="BX24" s="690"/>
      <c r="BY24" s="690"/>
      <c r="BZ24" s="388"/>
      <c r="CA24" s="690">
        <f>(res_pers_uni_u*Paramètres!G28)/1000</f>
        <v>0</v>
      </c>
      <c r="CB24" s="690"/>
      <c r="CC24" s="690"/>
      <c r="CD24" s="690"/>
      <c r="CE24" s="388"/>
      <c r="CF24" s="690">
        <f>(res_pers_uni_r*Paramètres!H28)/1000</f>
        <v>0</v>
      </c>
      <c r="CG24" s="690"/>
      <c r="CH24" s="690"/>
      <c r="CI24" s="690"/>
      <c r="CJ24" s="561"/>
      <c r="CK24" s="31"/>
      <c r="CL24" s="690">
        <f>SUM(BQ24,BV24,CF24,CA24)</f>
        <v>0</v>
      </c>
      <c r="CM24" s="690"/>
      <c r="CN24" s="690"/>
      <c r="CO24" s="690"/>
      <c r="CP24" s="329"/>
      <c r="CT24" s="692" t="str">
        <f>I40</f>
        <v>Verre</v>
      </c>
      <c r="CU24" s="693"/>
      <c r="CV24" s="693"/>
      <c r="CW24" s="693"/>
      <c r="CX24" s="693"/>
      <c r="CY24" s="693"/>
      <c r="CZ24" s="693"/>
      <c r="DA24" s="693"/>
      <c r="DB24" s="711">
        <f>(res_pers_multi*Paramètres!E55)/1000</f>
        <v>0</v>
      </c>
      <c r="DC24" s="711"/>
      <c r="DD24" s="711"/>
      <c r="DE24" s="711"/>
      <c r="DF24" s="348"/>
      <c r="DG24" s="711">
        <f>(res_pers_plex*Paramètres!F55)/1000</f>
        <v>0</v>
      </c>
      <c r="DH24" s="711"/>
      <c r="DI24" s="711"/>
      <c r="DJ24" s="711"/>
      <c r="DK24" s="348"/>
      <c r="DL24" s="711">
        <f>(res_pers_uni_u*Paramètres!G55)/1000</f>
        <v>0</v>
      </c>
      <c r="DM24" s="711"/>
      <c r="DN24" s="711"/>
      <c r="DO24" s="711"/>
      <c r="DP24" s="564"/>
      <c r="DQ24" s="695">
        <f>(res_pers_uni_r*Paramètres!H55)/1000</f>
        <v>0</v>
      </c>
      <c r="DR24" s="695"/>
      <c r="DS24" s="695"/>
      <c r="DT24" s="695"/>
      <c r="DV24" s="711">
        <f>SUM(DB24,DG24,DL24,DQ24)</f>
        <v>0</v>
      </c>
      <c r="DW24" s="711"/>
      <c r="DX24" s="711"/>
      <c r="DY24" s="712"/>
      <c r="ED24" s="693" t="str">
        <f>AH40</f>
        <v>Verre</v>
      </c>
      <c r="EE24" s="693"/>
      <c r="EF24" s="693"/>
      <c r="EG24" s="693"/>
      <c r="EH24" s="693"/>
      <c r="EI24" s="693"/>
      <c r="EJ24" s="693"/>
      <c r="EK24" s="693"/>
      <c r="EL24" s="711">
        <f>SUM(BQ24,DB24)</f>
        <v>0</v>
      </c>
      <c r="EM24" s="711"/>
      <c r="EN24" s="711"/>
      <c r="EO24" s="711"/>
      <c r="EP24" s="348"/>
      <c r="EQ24" s="711">
        <f>SUM(BV24,DG24)</f>
        <v>0</v>
      </c>
      <c r="ER24" s="711"/>
      <c r="ES24" s="711"/>
      <c r="ET24" s="711"/>
      <c r="EU24" s="348"/>
      <c r="EV24" s="711">
        <f>SUM(CA24,DL24)</f>
        <v>0</v>
      </c>
      <c r="EW24" s="711"/>
      <c r="EX24" s="711"/>
      <c r="EY24" s="711"/>
      <c r="EZ24" s="564"/>
      <c r="FA24" s="695">
        <f>SUM(CF24,DQ24)</f>
        <v>0</v>
      </c>
      <c r="FB24" s="695"/>
      <c r="FC24" s="695"/>
      <c r="FD24" s="695"/>
      <c r="FF24" s="711">
        <f>SUM(EL24,EQ24,EV24,FA24)</f>
        <v>0</v>
      </c>
      <c r="FG24" s="711"/>
      <c r="FH24" s="711"/>
      <c r="FI24" s="711"/>
      <c r="KB24" s="500"/>
      <c r="KC24" s="896" t="s">
        <v>737</v>
      </c>
      <c r="KD24" s="896"/>
      <c r="KE24" s="896"/>
      <c r="KF24" s="896"/>
      <c r="KG24" s="896"/>
      <c r="KH24" s="896"/>
      <c r="KI24" s="896"/>
      <c r="KJ24" s="896"/>
      <c r="KK24" s="896"/>
      <c r="KL24" s="896"/>
      <c r="KM24" s="896"/>
      <c r="KN24" s="501"/>
      <c r="KO24" s="500"/>
      <c r="KZ24" s="501"/>
      <c r="LL24" s="501"/>
    </row>
    <row r="25" spans="1:324" ht="15" customHeight="1" thickBot="1" x14ac:dyDescent="0.3">
      <c r="A25" s="19"/>
      <c r="B25" s="19"/>
      <c r="C25" s="73"/>
      <c r="D25" s="73"/>
      <c r="E25" s="21"/>
      <c r="F25" s="342"/>
      <c r="G25" s="19"/>
      <c r="H25" s="12"/>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19"/>
      <c r="AK25" s="19"/>
      <c r="AL25" s="951" t="s">
        <v>763</v>
      </c>
      <c r="AM25" s="952"/>
      <c r="AN25" s="952"/>
      <c r="AO25" s="952"/>
      <c r="AP25" s="952"/>
      <c r="AQ25" s="952"/>
      <c r="AR25" s="952"/>
      <c r="AS25" s="952"/>
      <c r="AT25" s="952"/>
      <c r="AU25" s="952"/>
      <c r="AV25" s="952"/>
      <c r="AW25" s="952"/>
      <c r="AX25" s="952"/>
      <c r="AY25" s="952"/>
      <c r="AZ25" s="952"/>
      <c r="BA25" s="952"/>
      <c r="BB25" s="952"/>
      <c r="BC25" s="953"/>
      <c r="BD25" s="298"/>
      <c r="BF25" s="342"/>
      <c r="BH25" s="368"/>
      <c r="BI25" s="143"/>
      <c r="BJ25" s="143"/>
      <c r="BK25" s="143"/>
      <c r="BL25" s="143"/>
      <c r="BM25" s="143"/>
      <c r="BN25" s="143"/>
      <c r="BO25" s="143"/>
      <c r="BP25" s="143"/>
      <c r="BQ25" s="313"/>
      <c r="BR25" s="313"/>
      <c r="BS25" s="313"/>
      <c r="BT25" s="313"/>
      <c r="BU25" s="348"/>
      <c r="BV25" s="313"/>
      <c r="BW25" s="313"/>
      <c r="BX25" s="313"/>
      <c r="BY25" s="313"/>
      <c r="BZ25" s="348"/>
      <c r="CA25" s="348"/>
      <c r="CB25" s="348"/>
      <c r="CC25" s="348"/>
      <c r="CD25" s="348"/>
      <c r="CE25" s="348"/>
      <c r="CF25" s="313"/>
      <c r="CG25" s="313"/>
      <c r="CH25" s="313"/>
      <c r="CI25" s="313"/>
      <c r="CJ25" s="556"/>
      <c r="CL25" s="313"/>
      <c r="CM25" s="313"/>
      <c r="CN25" s="313"/>
      <c r="CO25" s="313"/>
      <c r="CP25" s="329"/>
      <c r="CT25" s="511"/>
      <c r="CU25" s="143"/>
      <c r="CV25" s="143"/>
      <c r="CW25" s="143"/>
      <c r="CX25" s="143"/>
      <c r="CY25" s="143"/>
      <c r="CZ25" s="143"/>
      <c r="DA25" s="143"/>
      <c r="DB25" s="313"/>
      <c r="DC25" s="313"/>
      <c r="DD25" s="313"/>
      <c r="DE25" s="313"/>
      <c r="DF25" s="348"/>
      <c r="DG25" s="313"/>
      <c r="DH25" s="313"/>
      <c r="DI25" s="313"/>
      <c r="DJ25" s="313"/>
      <c r="DK25" s="348"/>
      <c r="DL25" s="313"/>
      <c r="DM25" s="313"/>
      <c r="DN25" s="313"/>
      <c r="DO25" s="313"/>
      <c r="DP25" s="564"/>
      <c r="DQ25" s="564"/>
      <c r="DR25" s="564"/>
      <c r="DS25" s="564"/>
      <c r="DT25" s="564"/>
      <c r="DV25" s="313"/>
      <c r="DW25" s="313"/>
      <c r="DX25" s="313"/>
      <c r="DY25" s="567"/>
      <c r="ED25" s="143"/>
      <c r="EE25" s="143"/>
      <c r="EF25" s="143"/>
      <c r="EG25" s="143"/>
      <c r="EH25" s="143"/>
      <c r="EI25" s="143"/>
      <c r="EJ25" s="143"/>
      <c r="EK25" s="143"/>
      <c r="EL25" s="313"/>
      <c r="EM25" s="313"/>
      <c r="EN25" s="313"/>
      <c r="EO25" s="313"/>
      <c r="EP25" s="348"/>
      <c r="EQ25" s="313"/>
      <c r="ER25" s="313"/>
      <c r="ES25" s="313"/>
      <c r="ET25" s="313"/>
      <c r="EU25" s="348"/>
      <c r="EV25" s="313"/>
      <c r="EW25" s="313"/>
      <c r="EX25" s="313"/>
      <c r="EY25" s="313"/>
      <c r="EZ25" s="564"/>
      <c r="FA25" s="568"/>
      <c r="FB25" s="568"/>
      <c r="FC25" s="568"/>
      <c r="FD25" s="569"/>
      <c r="FF25" s="313"/>
      <c r="FG25" s="313"/>
      <c r="FH25" s="313"/>
      <c r="FI25" s="313"/>
      <c r="KB25" s="500"/>
      <c r="KN25" s="501"/>
      <c r="KO25" s="500"/>
      <c r="KZ25" s="501"/>
      <c r="LL25" s="501"/>
    </row>
    <row r="26" spans="1:324" ht="15" customHeight="1" x14ac:dyDescent="0.25">
      <c r="A26" s="19"/>
      <c r="B26" s="19"/>
      <c r="C26" s="73"/>
      <c r="D26" s="73"/>
      <c r="E26" s="21"/>
      <c r="F26" s="342"/>
      <c r="G26" s="19"/>
      <c r="H26" s="879" t="s">
        <v>760</v>
      </c>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1"/>
      <c r="AK26" s="19"/>
      <c r="AL26" s="951"/>
      <c r="AM26" s="952"/>
      <c r="AN26" s="952"/>
      <c r="AO26" s="952"/>
      <c r="AP26" s="952"/>
      <c r="AQ26" s="952"/>
      <c r="AR26" s="952"/>
      <c r="AS26" s="952"/>
      <c r="AT26" s="952"/>
      <c r="AU26" s="952"/>
      <c r="AV26" s="952"/>
      <c r="AW26" s="952"/>
      <c r="AX26" s="952"/>
      <c r="AY26" s="952"/>
      <c r="AZ26" s="952"/>
      <c r="BA26" s="952"/>
      <c r="BB26" s="952"/>
      <c r="BC26" s="953"/>
      <c r="BD26" s="298"/>
      <c r="BF26" s="342"/>
      <c r="BH26" s="368"/>
      <c r="BI26" s="143"/>
      <c r="BJ26" s="143"/>
      <c r="BK26" s="143"/>
      <c r="BL26" s="143"/>
      <c r="BM26" s="143"/>
      <c r="BN26" s="143"/>
      <c r="BO26" s="143"/>
      <c r="BP26" s="143"/>
      <c r="BQ26" s="313"/>
      <c r="BR26" s="313"/>
      <c r="BS26" s="313"/>
      <c r="BT26" s="313"/>
      <c r="BU26" s="348"/>
      <c r="BV26" s="313"/>
      <c r="BW26" s="313"/>
      <c r="BX26" s="313"/>
      <c r="BY26" s="313"/>
      <c r="BZ26" s="348"/>
      <c r="CA26" s="348"/>
      <c r="CB26" s="348"/>
      <c r="CC26" s="348"/>
      <c r="CD26" s="348"/>
      <c r="CE26" s="348"/>
      <c r="CF26" s="313"/>
      <c r="CG26" s="313"/>
      <c r="CH26" s="313"/>
      <c r="CI26" s="313"/>
      <c r="CJ26" s="556"/>
      <c r="CL26" s="313"/>
      <c r="CM26" s="313"/>
      <c r="CN26" s="313"/>
      <c r="CO26" s="313"/>
      <c r="CP26" s="329"/>
      <c r="CT26" s="511"/>
      <c r="CU26" s="143"/>
      <c r="CV26" s="143"/>
      <c r="CW26" s="143"/>
      <c r="CX26" s="143"/>
      <c r="CY26" s="143"/>
      <c r="CZ26" s="143"/>
      <c r="DA26" s="143"/>
      <c r="DB26" s="313"/>
      <c r="DC26" s="313"/>
      <c r="DD26" s="313"/>
      <c r="DE26" s="313"/>
      <c r="DF26" s="348"/>
      <c r="DG26" s="313"/>
      <c r="DH26" s="313"/>
      <c r="DI26" s="313"/>
      <c r="DJ26" s="313"/>
      <c r="DK26" s="348"/>
      <c r="DL26" s="313"/>
      <c r="DM26" s="313"/>
      <c r="DN26" s="313"/>
      <c r="DO26" s="313"/>
      <c r="DP26" s="564"/>
      <c r="DQ26" s="564"/>
      <c r="DR26" s="564"/>
      <c r="DS26" s="564"/>
      <c r="DT26" s="564"/>
      <c r="DV26" s="313"/>
      <c r="DW26" s="313"/>
      <c r="DX26" s="313"/>
      <c r="DY26" s="567"/>
      <c r="ED26" s="143"/>
      <c r="EE26" s="143"/>
      <c r="EF26" s="143"/>
      <c r="EG26" s="143"/>
      <c r="EH26" s="143"/>
      <c r="EI26" s="143"/>
      <c r="EJ26" s="143"/>
      <c r="EK26" s="143"/>
      <c r="EL26" s="313"/>
      <c r="EM26" s="313"/>
      <c r="EN26" s="313"/>
      <c r="EO26" s="313"/>
      <c r="EP26" s="348"/>
      <c r="EQ26" s="313"/>
      <c r="ER26" s="313"/>
      <c r="ES26" s="313"/>
      <c r="ET26" s="313"/>
      <c r="EU26" s="348"/>
      <c r="EV26" s="313"/>
      <c r="EW26" s="313"/>
      <c r="EX26" s="313"/>
      <c r="EY26" s="313"/>
      <c r="EZ26" s="564"/>
      <c r="FA26" s="568"/>
      <c r="FB26" s="568"/>
      <c r="FC26" s="568"/>
      <c r="FD26" s="569"/>
      <c r="FF26" s="313"/>
      <c r="FG26" s="313"/>
      <c r="FH26" s="313"/>
      <c r="FI26" s="313"/>
      <c r="KB26" s="500"/>
      <c r="KN26" s="501"/>
      <c r="KO26" s="500"/>
      <c r="KZ26" s="501"/>
      <c r="LL26" s="501"/>
    </row>
    <row r="27" spans="1:324" ht="15" customHeight="1" x14ac:dyDescent="0.25">
      <c r="A27" s="19"/>
      <c r="B27" s="19"/>
      <c r="C27" s="73"/>
      <c r="D27" s="73"/>
      <c r="E27" s="21"/>
      <c r="F27" s="342"/>
      <c r="G27" s="19"/>
      <c r="H27" s="882"/>
      <c r="I27" s="883"/>
      <c r="J27" s="883"/>
      <c r="K27" s="883"/>
      <c r="L27" s="883"/>
      <c r="M27" s="883"/>
      <c r="N27" s="883"/>
      <c r="O27" s="883"/>
      <c r="P27" s="883"/>
      <c r="Q27" s="883"/>
      <c r="R27" s="883"/>
      <c r="S27" s="883"/>
      <c r="T27" s="883"/>
      <c r="U27" s="883"/>
      <c r="V27" s="883"/>
      <c r="W27" s="883"/>
      <c r="X27" s="883"/>
      <c r="Y27" s="883"/>
      <c r="Z27" s="883"/>
      <c r="AA27" s="883"/>
      <c r="AB27" s="883"/>
      <c r="AC27" s="883"/>
      <c r="AD27" s="883"/>
      <c r="AE27" s="883"/>
      <c r="AF27" s="883"/>
      <c r="AG27" s="883"/>
      <c r="AH27" s="883"/>
      <c r="AI27" s="883"/>
      <c r="AJ27" s="884"/>
      <c r="AK27" s="19"/>
      <c r="AL27" s="951"/>
      <c r="AM27" s="952"/>
      <c r="AN27" s="952"/>
      <c r="AO27" s="952"/>
      <c r="AP27" s="952"/>
      <c r="AQ27" s="952"/>
      <c r="AR27" s="952"/>
      <c r="AS27" s="952"/>
      <c r="AT27" s="952"/>
      <c r="AU27" s="952"/>
      <c r="AV27" s="952"/>
      <c r="AW27" s="952"/>
      <c r="AX27" s="952"/>
      <c r="AY27" s="952"/>
      <c r="AZ27" s="952"/>
      <c r="BA27" s="952"/>
      <c r="BB27" s="952"/>
      <c r="BC27" s="953"/>
      <c r="BD27" s="298"/>
      <c r="BF27" s="342"/>
      <c r="BH27" s="368"/>
      <c r="BI27" s="143"/>
      <c r="BJ27" s="143"/>
      <c r="BK27" s="143"/>
      <c r="BL27" s="143"/>
      <c r="BM27" s="143"/>
      <c r="BN27" s="143"/>
      <c r="BO27" s="143"/>
      <c r="BP27" s="143"/>
      <c r="BQ27" s="313"/>
      <c r="BR27" s="313"/>
      <c r="BS27" s="313"/>
      <c r="BT27" s="313"/>
      <c r="BU27" s="348"/>
      <c r="BV27" s="313"/>
      <c r="BW27" s="313"/>
      <c r="BX27" s="313"/>
      <c r="BY27" s="313"/>
      <c r="BZ27" s="348"/>
      <c r="CA27" s="348"/>
      <c r="CB27" s="348"/>
      <c r="CC27" s="348"/>
      <c r="CD27" s="348"/>
      <c r="CE27" s="348"/>
      <c r="CF27" s="313"/>
      <c r="CG27" s="313"/>
      <c r="CH27" s="313"/>
      <c r="CI27" s="313"/>
      <c r="CJ27" s="556"/>
      <c r="CL27" s="313"/>
      <c r="CM27" s="313"/>
      <c r="CN27" s="313"/>
      <c r="CO27" s="313"/>
      <c r="CP27" s="329"/>
      <c r="CT27" s="511"/>
      <c r="CU27" s="143"/>
      <c r="CV27" s="143"/>
      <c r="CW27" s="143"/>
      <c r="CX27" s="143"/>
      <c r="CY27" s="143"/>
      <c r="CZ27" s="143"/>
      <c r="DA27" s="143"/>
      <c r="DB27" s="313"/>
      <c r="DC27" s="313"/>
      <c r="DD27" s="313"/>
      <c r="DE27" s="313"/>
      <c r="DF27" s="348"/>
      <c r="DG27" s="313"/>
      <c r="DH27" s="313"/>
      <c r="DI27" s="313"/>
      <c r="DJ27" s="313"/>
      <c r="DK27" s="348"/>
      <c r="DL27" s="313"/>
      <c r="DM27" s="313"/>
      <c r="DN27" s="313"/>
      <c r="DO27" s="313"/>
      <c r="DP27" s="564"/>
      <c r="DQ27" s="564"/>
      <c r="DR27" s="564"/>
      <c r="DS27" s="564"/>
      <c r="DT27" s="564"/>
      <c r="DV27" s="313"/>
      <c r="DW27" s="313"/>
      <c r="DX27" s="313"/>
      <c r="DY27" s="567"/>
      <c r="ED27" s="143"/>
      <c r="EE27" s="143"/>
      <c r="EF27" s="143"/>
      <c r="EG27" s="143"/>
      <c r="EH27" s="143"/>
      <c r="EI27" s="143"/>
      <c r="EJ27" s="143"/>
      <c r="EK27" s="143"/>
      <c r="EL27" s="313"/>
      <c r="EM27" s="313"/>
      <c r="EN27" s="313"/>
      <c r="EO27" s="313"/>
      <c r="EP27" s="348"/>
      <c r="EQ27" s="313"/>
      <c r="ER27" s="313"/>
      <c r="ES27" s="313"/>
      <c r="ET27" s="313"/>
      <c r="EU27" s="348"/>
      <c r="EV27" s="313"/>
      <c r="EW27" s="313"/>
      <c r="EX27" s="313"/>
      <c r="EY27" s="313"/>
      <c r="EZ27" s="564"/>
      <c r="FA27" s="568"/>
      <c r="FB27" s="568"/>
      <c r="FC27" s="568"/>
      <c r="FD27" s="569"/>
      <c r="FF27" s="313"/>
      <c r="FG27" s="313"/>
      <c r="FH27" s="313"/>
      <c r="FI27" s="313"/>
      <c r="KB27" s="500" t="s">
        <v>712</v>
      </c>
      <c r="KC27" s="508" t="s">
        <v>703</v>
      </c>
      <c r="KN27" s="501"/>
      <c r="KO27" s="500"/>
      <c r="KT27" s="280" t="s">
        <v>698</v>
      </c>
      <c r="KZ27" s="501"/>
      <c r="LC27" s="721" t="s">
        <v>698</v>
      </c>
      <c r="LD27" s="721"/>
      <c r="LE27" s="721"/>
      <c r="LF27" s="721"/>
      <c r="LG27" s="721"/>
      <c r="LH27" s="721"/>
      <c r="LI27" s="721"/>
      <c r="LJ27" s="721"/>
      <c r="LK27" s="721"/>
      <c r="LL27" s="501"/>
    </row>
    <row r="28" spans="1:324" ht="15" customHeight="1" thickBot="1" x14ac:dyDescent="0.3">
      <c r="A28" s="19"/>
      <c r="B28" s="19"/>
      <c r="C28" s="73"/>
      <c r="D28" s="73"/>
      <c r="E28" s="21"/>
      <c r="F28" s="342"/>
      <c r="G28" s="19"/>
      <c r="H28" s="885"/>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7"/>
      <c r="AK28" s="19"/>
      <c r="AL28" s="951"/>
      <c r="AM28" s="952"/>
      <c r="AN28" s="952"/>
      <c r="AO28" s="952"/>
      <c r="AP28" s="952"/>
      <c r="AQ28" s="952"/>
      <c r="AR28" s="952"/>
      <c r="AS28" s="952"/>
      <c r="AT28" s="952"/>
      <c r="AU28" s="952"/>
      <c r="AV28" s="952"/>
      <c r="AW28" s="952"/>
      <c r="AX28" s="952"/>
      <c r="AY28" s="952"/>
      <c r="AZ28" s="952"/>
      <c r="BA28" s="952"/>
      <c r="BB28" s="952"/>
      <c r="BC28" s="953"/>
      <c r="BD28" s="298"/>
      <c r="BF28" s="342"/>
      <c r="BH28" s="368"/>
      <c r="BI28" s="143"/>
      <c r="BJ28" s="143"/>
      <c r="BK28" s="143"/>
      <c r="BL28" s="143"/>
      <c r="BM28" s="143"/>
      <c r="BN28" s="143"/>
      <c r="BO28" s="143"/>
      <c r="BP28" s="143"/>
      <c r="BQ28" s="313"/>
      <c r="BR28" s="313"/>
      <c r="BS28" s="313"/>
      <c r="BT28" s="313"/>
      <c r="BU28" s="348"/>
      <c r="BV28" s="313"/>
      <c r="BW28" s="313"/>
      <c r="BX28" s="313"/>
      <c r="BY28" s="313"/>
      <c r="BZ28" s="348"/>
      <c r="CA28" s="348"/>
      <c r="CB28" s="348"/>
      <c r="CC28" s="348"/>
      <c r="CD28" s="348"/>
      <c r="CE28" s="348"/>
      <c r="CF28" s="313"/>
      <c r="CG28" s="313"/>
      <c r="CH28" s="313"/>
      <c r="CI28" s="313"/>
      <c r="CJ28" s="556"/>
      <c r="CL28" s="313"/>
      <c r="CM28" s="313"/>
      <c r="CN28" s="313"/>
      <c r="CO28" s="313"/>
      <c r="CP28" s="329"/>
      <c r="CT28" s="511"/>
      <c r="CU28" s="143"/>
      <c r="CV28" s="143"/>
      <c r="CW28" s="143"/>
      <c r="CX28" s="143"/>
      <c r="CY28" s="143"/>
      <c r="CZ28" s="143"/>
      <c r="DA28" s="143"/>
      <c r="DB28" s="313"/>
      <c r="DC28" s="313"/>
      <c r="DD28" s="313"/>
      <c r="DE28" s="313"/>
      <c r="DF28" s="348"/>
      <c r="DG28" s="313"/>
      <c r="DH28" s="313"/>
      <c r="DI28" s="313"/>
      <c r="DJ28" s="313"/>
      <c r="DK28" s="348"/>
      <c r="DL28" s="313"/>
      <c r="DM28" s="313"/>
      <c r="DN28" s="313"/>
      <c r="DO28" s="313"/>
      <c r="DP28" s="564"/>
      <c r="DQ28" s="564"/>
      <c r="DR28" s="564"/>
      <c r="DS28" s="564"/>
      <c r="DT28" s="564"/>
      <c r="DV28" s="313"/>
      <c r="DW28" s="313"/>
      <c r="DX28" s="313"/>
      <c r="DY28" s="567"/>
      <c r="ED28" s="143"/>
      <c r="EE28" s="143"/>
      <c r="EF28" s="143"/>
      <c r="EG28" s="143"/>
      <c r="EH28" s="143"/>
      <c r="EI28" s="143"/>
      <c r="EJ28" s="143"/>
      <c r="EK28" s="143"/>
      <c r="EL28" s="313"/>
      <c r="EM28" s="313"/>
      <c r="EN28" s="313"/>
      <c r="EO28" s="313"/>
      <c r="EP28" s="348"/>
      <c r="EQ28" s="313"/>
      <c r="ER28" s="313"/>
      <c r="ES28" s="313"/>
      <c r="ET28" s="313"/>
      <c r="EU28" s="348"/>
      <c r="EV28" s="313"/>
      <c r="EW28" s="313"/>
      <c r="EX28" s="313"/>
      <c r="EY28" s="313"/>
      <c r="EZ28" s="564"/>
      <c r="FA28" s="568"/>
      <c r="FB28" s="568"/>
      <c r="FC28" s="568"/>
      <c r="FD28" s="569"/>
      <c r="FF28" s="313"/>
      <c r="FG28" s="313"/>
      <c r="FH28" s="313"/>
      <c r="FI28" s="313"/>
      <c r="KB28" s="500"/>
      <c r="KF28" s="280" t="s">
        <v>285</v>
      </c>
      <c r="KK28" s="280" t="s">
        <v>286</v>
      </c>
      <c r="KN28" s="501"/>
      <c r="KR28" s="721" t="s">
        <v>285</v>
      </c>
      <c r="KS28" s="721"/>
      <c r="KT28" s="721"/>
      <c r="KU28" s="721"/>
      <c r="KW28" s="721" t="s">
        <v>286</v>
      </c>
      <c r="KX28" s="721"/>
      <c r="KY28" s="721"/>
      <c r="KZ28" s="947"/>
      <c r="LC28" s="721" t="s">
        <v>285</v>
      </c>
      <c r="LD28" s="721"/>
      <c r="LE28" s="721"/>
      <c r="LF28" s="721"/>
      <c r="LH28" s="721" t="s">
        <v>286</v>
      </c>
      <c r="LI28" s="721"/>
      <c r="LJ28" s="721"/>
      <c r="LK28" s="721"/>
      <c r="LL28" s="501"/>
    </row>
    <row r="29" spans="1:324" ht="15" customHeight="1" thickBot="1" x14ac:dyDescent="0.3">
      <c r="A29" s="19"/>
      <c r="B29" s="19"/>
      <c r="C29" s="73"/>
      <c r="D29" s="73"/>
      <c r="E29" s="21"/>
      <c r="F29" s="342"/>
      <c r="G29" s="19"/>
      <c r="H29" s="19"/>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19"/>
      <c r="AK29" s="19"/>
      <c r="AL29" s="951"/>
      <c r="AM29" s="952"/>
      <c r="AN29" s="952"/>
      <c r="AO29" s="952"/>
      <c r="AP29" s="952"/>
      <c r="AQ29" s="952"/>
      <c r="AR29" s="952"/>
      <c r="AS29" s="952"/>
      <c r="AT29" s="952"/>
      <c r="AU29" s="952"/>
      <c r="AV29" s="952"/>
      <c r="AW29" s="952"/>
      <c r="AX29" s="952"/>
      <c r="AY29" s="952"/>
      <c r="AZ29" s="952"/>
      <c r="BA29" s="952"/>
      <c r="BB29" s="952"/>
      <c r="BC29" s="953"/>
      <c r="BD29" s="298"/>
      <c r="BF29" s="342"/>
      <c r="BH29" s="553"/>
      <c r="BI29" s="554"/>
      <c r="BJ29" s="554"/>
      <c r="BK29" s="554"/>
      <c r="BL29" s="554"/>
      <c r="BM29" s="554"/>
      <c r="BN29" s="554"/>
      <c r="BO29" s="554"/>
      <c r="BP29" s="554"/>
      <c r="BQ29" s="554"/>
      <c r="BR29" s="554"/>
      <c r="BS29" s="554"/>
      <c r="BT29" s="554"/>
      <c r="BU29" s="554"/>
      <c r="BV29" s="554"/>
      <c r="BW29" s="554"/>
      <c r="BX29" s="554"/>
      <c r="BY29" s="554"/>
      <c r="BZ29" s="554"/>
      <c r="CA29" s="554"/>
      <c r="CB29" s="554"/>
      <c r="CC29" s="554"/>
      <c r="CD29" s="554"/>
      <c r="CE29" s="554"/>
      <c r="CF29" s="493"/>
      <c r="CG29" s="493"/>
      <c r="CH29" s="493"/>
      <c r="CI29" s="493"/>
      <c r="CJ29" s="557"/>
      <c r="CK29" s="493"/>
      <c r="CL29" s="493"/>
      <c r="CM29" s="493"/>
      <c r="CN29" s="493"/>
      <c r="CO29" s="493"/>
      <c r="CP29" s="555"/>
      <c r="CT29" s="519"/>
      <c r="CU29" s="493"/>
      <c r="CV29" s="493"/>
      <c r="CW29" s="493"/>
      <c r="CX29" s="493"/>
      <c r="CY29" s="493"/>
      <c r="CZ29" s="493"/>
      <c r="DA29" s="493"/>
      <c r="DB29" s="493"/>
      <c r="DC29" s="493"/>
      <c r="DD29" s="493"/>
      <c r="DE29" s="493"/>
      <c r="DF29" s="493"/>
      <c r="DG29" s="493"/>
      <c r="DH29" s="493"/>
      <c r="DI29" s="493"/>
      <c r="DJ29" s="493"/>
      <c r="DK29" s="493"/>
      <c r="DL29" s="493"/>
      <c r="DM29" s="493"/>
      <c r="DN29" s="493"/>
      <c r="DO29" s="493"/>
      <c r="DP29" s="493"/>
      <c r="DQ29" s="493"/>
      <c r="DR29" s="493"/>
      <c r="DS29" s="493"/>
      <c r="DT29" s="493"/>
      <c r="DU29" s="493"/>
      <c r="DV29" s="493"/>
      <c r="DW29" s="493"/>
      <c r="DX29" s="493"/>
      <c r="DY29" s="555"/>
      <c r="KB29" s="513"/>
      <c r="KC29" s="507" t="s">
        <v>761</v>
      </c>
      <c r="KD29" s="507"/>
      <c r="KE29" s="722"/>
      <c r="KF29" s="722"/>
      <c r="KG29" s="722"/>
      <c r="KH29" s="722"/>
      <c r="KJ29" s="722"/>
      <c r="KK29" s="722"/>
      <c r="KL29" s="722"/>
      <c r="KM29" s="722"/>
      <c r="KN29" s="501"/>
      <c r="KQ29" s="720">
        <v>9.8000000000000004E-2</v>
      </c>
      <c r="KR29" s="720"/>
      <c r="KS29" s="720"/>
      <c r="KT29" s="720"/>
      <c r="KV29" s="720">
        <v>0.214</v>
      </c>
      <c r="KW29" s="720"/>
      <c r="KX29" s="720"/>
      <c r="KY29" s="720"/>
      <c r="KZ29" s="501"/>
    </row>
    <row r="30" spans="1:324" ht="15" customHeight="1" x14ac:dyDescent="0.25">
      <c r="A30" s="19"/>
      <c r="B30" s="19"/>
      <c r="C30" s="73" t="str">
        <f>C24&amp;".1"</f>
        <v>2.1</v>
      </c>
      <c r="F30" s="342"/>
      <c r="H30" s="12"/>
      <c r="J30" s="77" t="str">
        <f>CONCATENATE($B$2,".",$C30,".")</f>
        <v>2.2.1.</v>
      </c>
      <c r="K30" s="756" t="s">
        <v>670</v>
      </c>
      <c r="L30" s="756"/>
      <c r="M30" s="756"/>
      <c r="N30" s="756"/>
      <c r="O30" s="756"/>
      <c r="P30" s="756"/>
      <c r="Q30" s="756"/>
      <c r="R30" s="756"/>
      <c r="S30" s="756"/>
      <c r="T30" s="756"/>
      <c r="U30" s="756"/>
      <c r="V30" s="756"/>
      <c r="W30" s="756"/>
      <c r="X30" s="756"/>
      <c r="Y30" s="756"/>
      <c r="Z30" s="756"/>
      <c r="AA30" s="756"/>
      <c r="AB30" s="756"/>
      <c r="AC30" s="756"/>
      <c r="AD30" s="756"/>
      <c r="AE30" s="756"/>
      <c r="AF30" s="759"/>
      <c r="AG30" s="759"/>
      <c r="AH30" s="759"/>
      <c r="AJ30" s="19"/>
      <c r="AK30" s="19"/>
      <c r="AL30" s="951"/>
      <c r="AM30" s="952"/>
      <c r="AN30" s="952"/>
      <c r="AO30" s="952"/>
      <c r="AP30" s="952"/>
      <c r="AQ30" s="952"/>
      <c r="AR30" s="952"/>
      <c r="AS30" s="952"/>
      <c r="AT30" s="952"/>
      <c r="AU30" s="952"/>
      <c r="AV30" s="952"/>
      <c r="AW30" s="952"/>
      <c r="AX30" s="952"/>
      <c r="AY30" s="952"/>
      <c r="AZ30" s="952"/>
      <c r="BA30" s="952"/>
      <c r="BB30" s="952"/>
      <c r="BC30" s="953"/>
      <c r="BD30" s="298"/>
      <c r="BF30" s="342"/>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KB30" s="500"/>
      <c r="KN30" s="501"/>
      <c r="KZ30" s="501"/>
    </row>
    <row r="31" spans="1:324" ht="15" customHeight="1" x14ac:dyDescent="0.25">
      <c r="A31" s="308"/>
      <c r="B31" s="308"/>
      <c r="C31" s="309"/>
      <c r="F31" s="342"/>
      <c r="H31" s="12"/>
      <c r="AG31" s="891">
        <f>'Données générales'!AO8</f>
        <v>0</v>
      </c>
      <c r="AH31" s="891"/>
      <c r="AI31" s="891"/>
      <c r="AJ31" s="891"/>
      <c r="AK31" s="19"/>
      <c r="AL31" s="951"/>
      <c r="AM31" s="952"/>
      <c r="AN31" s="952"/>
      <c r="AO31" s="952"/>
      <c r="AP31" s="952"/>
      <c r="AQ31" s="952"/>
      <c r="AR31" s="952"/>
      <c r="AS31" s="952"/>
      <c r="AT31" s="952"/>
      <c r="AU31" s="952"/>
      <c r="AV31" s="952"/>
      <c r="AW31" s="952"/>
      <c r="AX31" s="952"/>
      <c r="AY31" s="952"/>
      <c r="AZ31" s="952"/>
      <c r="BA31" s="952"/>
      <c r="BB31" s="952"/>
      <c r="BC31" s="953"/>
      <c r="BD31" s="298"/>
      <c r="BF31" s="342"/>
      <c r="BH31" s="379"/>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KB31" s="500" t="s">
        <v>713</v>
      </c>
      <c r="KC31" s="280" t="s">
        <v>696</v>
      </c>
      <c r="KD31" s="280"/>
      <c r="KN31" s="501"/>
      <c r="KZ31" s="501"/>
    </row>
    <row r="32" spans="1:324" ht="15" customHeight="1" thickBot="1" x14ac:dyDescent="0.3">
      <c r="A32" s="5" t="s">
        <v>508</v>
      </c>
      <c r="B32" s="19"/>
      <c r="C32" s="73" t="str">
        <f>C24&amp;".2"</f>
        <v>2.2</v>
      </c>
      <c r="D32" s="73"/>
      <c r="E32" s="21"/>
      <c r="F32" s="342"/>
      <c r="G32" s="19"/>
      <c r="H32" s="19"/>
      <c r="I32" s="19"/>
      <c r="J32" s="77" t="str">
        <f>CONCATENATE($B$2,".",$C32,".")</f>
        <v>2.2.2.</v>
      </c>
      <c r="K32" s="757" t="str">
        <f>question_outil_utilisateur</f>
        <v>Quelles données souhaitez-vous utiliser dans les résultats ?</v>
      </c>
      <c r="L32" s="757"/>
      <c r="M32" s="757"/>
      <c r="N32" s="757"/>
      <c r="O32" s="757"/>
      <c r="P32" s="757"/>
      <c r="Q32" s="757"/>
      <c r="R32" s="757"/>
      <c r="S32" s="757"/>
      <c r="T32" s="757"/>
      <c r="U32" s="757"/>
      <c r="V32" s="757"/>
      <c r="W32" s="757"/>
      <c r="X32" s="757"/>
      <c r="Y32" s="757"/>
      <c r="Z32" s="757"/>
      <c r="AA32" s="757"/>
      <c r="AB32" s="759"/>
      <c r="AC32" s="759"/>
      <c r="AD32" s="759"/>
      <c r="AE32" s="759"/>
      <c r="AF32" s="759"/>
      <c r="AG32" s="759"/>
      <c r="AH32" s="759"/>
      <c r="AI32" s="759"/>
      <c r="AJ32" s="759"/>
      <c r="AK32" s="19"/>
      <c r="AL32" s="954"/>
      <c r="AM32" s="955"/>
      <c r="AN32" s="955"/>
      <c r="AO32" s="955"/>
      <c r="AP32" s="955"/>
      <c r="AQ32" s="955"/>
      <c r="AR32" s="955"/>
      <c r="AS32" s="955"/>
      <c r="AT32" s="955"/>
      <c r="AU32" s="955"/>
      <c r="AV32" s="955"/>
      <c r="AW32" s="955"/>
      <c r="AX32" s="955"/>
      <c r="AY32" s="955"/>
      <c r="AZ32" s="955"/>
      <c r="BA32" s="955"/>
      <c r="BB32" s="955"/>
      <c r="BC32" s="956"/>
      <c r="BD32" s="298"/>
      <c r="BF32" s="342"/>
      <c r="KB32" s="500"/>
      <c r="KE32" s="721" t="s">
        <v>285</v>
      </c>
      <c r="KF32" s="721"/>
      <c r="KG32" s="721"/>
      <c r="KH32" s="721"/>
      <c r="KJ32" s="721" t="s">
        <v>286</v>
      </c>
      <c r="KK32" s="721"/>
      <c r="KL32" s="721"/>
      <c r="KM32" s="721"/>
      <c r="KN32" s="501"/>
      <c r="KZ32" s="501"/>
    </row>
    <row r="33" spans="1:322" ht="15" customHeight="1" thickBot="1" x14ac:dyDescent="0.3">
      <c r="A33" s="19"/>
      <c r="B33" s="19"/>
      <c r="C33" s="73"/>
      <c r="D33" s="73"/>
      <c r="E33" s="21"/>
      <c r="F33" s="342"/>
      <c r="G33" s="19"/>
      <c r="H33" s="19"/>
      <c r="I33" s="19"/>
      <c r="J33" s="19"/>
      <c r="K33" s="19"/>
      <c r="L33" s="19"/>
      <c r="M33" s="19"/>
      <c r="N33" s="19"/>
      <c r="O33" s="19"/>
      <c r="P33" s="19"/>
      <c r="Q33" s="19"/>
      <c r="R33" s="19"/>
      <c r="S33" s="19"/>
      <c r="T33" s="19"/>
      <c r="U33" s="19"/>
      <c r="V33" s="19"/>
      <c r="W33" s="19"/>
      <c r="X33" s="19"/>
      <c r="Y33" s="21"/>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F33" s="342"/>
      <c r="KB33" s="513"/>
      <c r="KC33" s="507" t="s">
        <v>762</v>
      </c>
      <c r="KD33" s="507"/>
      <c r="KE33" s="719">
        <f>IF($KQ$29="",$KE$29*(100%-9.8%),$KE$29*(100%-$KQ$29))</f>
        <v>0</v>
      </c>
      <c r="KF33" s="719"/>
      <c r="KG33" s="719"/>
      <c r="KH33" s="719"/>
      <c r="KJ33" s="719">
        <f>IF($KV$29="",$KJ$29*(100%-21.4%),$KJ$29*(100%-$KV$29))</f>
        <v>0</v>
      </c>
      <c r="KK33" s="719"/>
      <c r="KL33" s="719"/>
      <c r="KM33" s="719"/>
      <c r="KN33" s="501"/>
      <c r="KZ33" s="501"/>
    </row>
    <row r="34" spans="1:322" ht="15" customHeight="1" thickBot="1" x14ac:dyDescent="0.3">
      <c r="A34" s="19"/>
      <c r="B34" s="19"/>
      <c r="C34" s="73" t="str">
        <f>C24&amp;".3"</f>
        <v>2.3</v>
      </c>
      <c r="D34" s="73" t="str">
        <f>C24&amp;".4"</f>
        <v>2.4</v>
      </c>
      <c r="E34" s="21"/>
      <c r="F34" s="342"/>
      <c r="G34" s="19"/>
      <c r="H34" s="19"/>
      <c r="I34" s="19"/>
      <c r="J34" s="77" t="str">
        <f>CONCATENATE($B$2,".",$C34,".")</f>
        <v>2.2.3.</v>
      </c>
      <c r="K34" s="733" t="str">
        <f>txt_outil&amp;IF(res_utiliser_recyclables=menu_utilisateur,donnees_infos,donnees_calculs)</f>
        <v>Données suggérées par l'outil - UTILISÉES DANS LES RÉSULTATS</v>
      </c>
      <c r="L34" s="733"/>
      <c r="M34" s="733"/>
      <c r="N34" s="733"/>
      <c r="O34" s="733"/>
      <c r="P34" s="733"/>
      <c r="Q34" s="733"/>
      <c r="R34" s="733"/>
      <c r="S34" s="733"/>
      <c r="T34" s="733"/>
      <c r="U34" s="733"/>
      <c r="V34" s="733"/>
      <c r="W34" s="733"/>
      <c r="X34" s="733"/>
      <c r="Y34" s="733"/>
      <c r="Z34" s="733"/>
      <c r="AA34" s="733"/>
      <c r="AB34" s="733"/>
      <c r="AC34" s="733"/>
      <c r="AD34" s="733"/>
      <c r="AE34" s="19"/>
      <c r="AF34" s="19"/>
      <c r="AG34" s="19"/>
      <c r="AH34" s="19"/>
      <c r="AI34" s="77" t="str">
        <f>CONCATENATE($B$2,".",$D34,".")</f>
        <v>2.2.4.</v>
      </c>
      <c r="AJ34" s="733" t="str">
        <f>txt_utilisateur&amp;IF(res_utiliser_recyclables=menu_utilisateur,donnees_calculs,donnees_infos)</f>
        <v xml:space="preserve">Données saisies par l'utilisateur (fournies à titre indicatif seulement) </v>
      </c>
      <c r="AK34" s="733"/>
      <c r="AL34" s="733"/>
      <c r="AM34" s="733"/>
      <c r="AN34" s="733"/>
      <c r="AO34" s="733"/>
      <c r="AP34" s="733"/>
      <c r="AQ34" s="733"/>
      <c r="AR34" s="733"/>
      <c r="AS34" s="733"/>
      <c r="AT34" s="733"/>
      <c r="AU34" s="733"/>
      <c r="AV34" s="733"/>
      <c r="AW34" s="733"/>
      <c r="AX34" s="733"/>
      <c r="AY34" s="733"/>
      <c r="AZ34" s="733"/>
      <c r="BA34" s="733"/>
      <c r="BB34" s="733"/>
      <c r="BC34" s="733"/>
      <c r="BF34" s="342"/>
      <c r="BH34" s="106"/>
      <c r="BI34" s="737"/>
      <c r="BJ34" s="737"/>
      <c r="BK34" s="737"/>
      <c r="BL34" s="737"/>
      <c r="BM34" s="737"/>
      <c r="BN34" s="737"/>
      <c r="BO34" s="737"/>
      <c r="BP34" s="737"/>
      <c r="BQ34" s="737"/>
      <c r="BR34" s="737"/>
      <c r="BS34" s="737"/>
      <c r="BT34" s="737"/>
      <c r="BU34" s="737"/>
      <c r="BV34" s="737"/>
      <c r="BW34" s="737"/>
      <c r="BX34" s="737"/>
      <c r="BY34" s="737"/>
      <c r="BZ34" s="737"/>
      <c r="CA34" s="737"/>
      <c r="CB34" s="737"/>
      <c r="CC34" s="737"/>
      <c r="CD34" s="737"/>
      <c r="CE34" s="108"/>
      <c r="CG34" s="106"/>
      <c r="CH34" s="713"/>
      <c r="CI34" s="714"/>
      <c r="CJ34" s="714"/>
      <c r="CK34" s="714"/>
      <c r="CL34" s="714"/>
      <c r="CM34" s="714"/>
      <c r="CN34" s="714"/>
      <c r="CO34" s="714"/>
      <c r="CP34" s="714"/>
      <c r="CQ34" s="714"/>
      <c r="CR34" s="714"/>
      <c r="CS34" s="714"/>
      <c r="CT34" s="714"/>
      <c r="CU34" s="714"/>
      <c r="CV34" s="714"/>
      <c r="CW34" s="714"/>
      <c r="CX34" s="714"/>
      <c r="CY34" s="714"/>
      <c r="CZ34" s="714"/>
      <c r="DA34" s="714"/>
      <c r="DB34" s="714"/>
      <c r="DC34" s="714"/>
      <c r="DD34" s="108"/>
      <c r="DF34" s="106"/>
      <c r="DG34" s="713"/>
      <c r="DH34" s="714"/>
      <c r="DI34" s="714"/>
      <c r="DJ34" s="714"/>
      <c r="DK34" s="714"/>
      <c r="DL34" s="714"/>
      <c r="DM34" s="714"/>
      <c r="DN34" s="714"/>
      <c r="DO34" s="714"/>
      <c r="DP34" s="714"/>
      <c r="DQ34" s="714"/>
      <c r="DR34" s="714"/>
      <c r="DS34" s="714"/>
      <c r="DT34" s="714"/>
      <c r="DU34" s="714"/>
      <c r="DV34" s="714"/>
      <c r="DW34" s="714"/>
      <c r="DX34" s="714"/>
      <c r="DY34" s="714"/>
      <c r="DZ34" s="714"/>
      <c r="EA34" s="714"/>
      <c r="EB34" s="714"/>
      <c r="EC34" s="108"/>
      <c r="EE34" s="360"/>
      <c r="EF34" s="361"/>
      <c r="EG34" s="361"/>
      <c r="EH34" s="361"/>
      <c r="EI34" s="361"/>
      <c r="EJ34" s="361"/>
      <c r="EK34" s="361"/>
      <c r="EL34" s="361"/>
      <c r="EM34" s="361"/>
      <c r="EN34" s="361"/>
      <c r="EO34" s="361"/>
      <c r="EP34" s="361"/>
      <c r="EQ34" s="361"/>
      <c r="ER34" s="361"/>
      <c r="ES34" s="361"/>
      <c r="ET34" s="362"/>
      <c r="KB34" s="500"/>
      <c r="KN34" s="501"/>
      <c r="KZ34" s="501"/>
    </row>
    <row r="35" spans="1:322" s="19" customFormat="1" ht="15" customHeight="1" thickBot="1" x14ac:dyDescent="0.3">
      <c r="C35" s="73"/>
      <c r="D35" s="73"/>
      <c r="E35" s="21"/>
      <c r="F35" s="342"/>
      <c r="J35" s="77"/>
      <c r="K35" s="22"/>
      <c r="X35" s="194"/>
      <c r="Y35" s="194"/>
      <c r="Z35" s="194"/>
      <c r="AI35" s="77"/>
      <c r="AJ35" s="22"/>
      <c r="AN35" s="61"/>
      <c r="AP35" s="61"/>
      <c r="AY35" s="61"/>
      <c r="BF35" s="342"/>
      <c r="BH35" s="353"/>
      <c r="BI35" s="869" t="s">
        <v>488</v>
      </c>
      <c r="BJ35" s="869"/>
      <c r="BK35" s="869"/>
      <c r="BL35" s="869"/>
      <c r="BM35" s="869"/>
      <c r="BN35" s="869"/>
      <c r="BO35" s="869"/>
      <c r="BP35" s="869"/>
      <c r="BQ35" s="869"/>
      <c r="BR35" s="869"/>
      <c r="BS35" s="869"/>
      <c r="BT35" s="869"/>
      <c r="BU35" s="869"/>
      <c r="BV35" s="869"/>
      <c r="BW35" s="869"/>
      <c r="BX35" s="869"/>
      <c r="BY35" s="869"/>
      <c r="BZ35" s="869"/>
      <c r="CA35" s="869"/>
      <c r="CB35" s="869"/>
      <c r="CC35" s="869"/>
      <c r="CD35" s="869"/>
      <c r="CE35" s="354"/>
      <c r="CF35" s="5"/>
      <c r="CG35" s="353"/>
      <c r="CH35" s="710" t="s">
        <v>9</v>
      </c>
      <c r="CI35" s="715"/>
      <c r="CJ35" s="715"/>
      <c r="CK35" s="715"/>
      <c r="CL35" s="715"/>
      <c r="CM35" s="715"/>
      <c r="CN35" s="715"/>
      <c r="CO35" s="715"/>
      <c r="CP35" s="715"/>
      <c r="CQ35" s="715"/>
      <c r="CR35" s="715"/>
      <c r="CS35" s="715"/>
      <c r="CT35" s="715"/>
      <c r="CU35" s="715"/>
      <c r="CV35" s="715"/>
      <c r="CW35" s="715"/>
      <c r="CX35" s="715"/>
      <c r="CY35" s="715"/>
      <c r="CZ35" s="715"/>
      <c r="DA35" s="715"/>
      <c r="DB35" s="715"/>
      <c r="DC35" s="715"/>
      <c r="DD35" s="354"/>
      <c r="DE35" s="5"/>
      <c r="DF35" s="353"/>
      <c r="DG35" s="710" t="s">
        <v>16</v>
      </c>
      <c r="DH35" s="715"/>
      <c r="DI35" s="715"/>
      <c r="DJ35" s="715"/>
      <c r="DK35" s="715"/>
      <c r="DL35" s="715"/>
      <c r="DM35" s="715"/>
      <c r="DN35" s="715"/>
      <c r="DO35" s="715"/>
      <c r="DP35" s="715"/>
      <c r="DQ35" s="715"/>
      <c r="DR35" s="715"/>
      <c r="DS35" s="715"/>
      <c r="DT35" s="715"/>
      <c r="DU35" s="715"/>
      <c r="DV35" s="715"/>
      <c r="DW35" s="715"/>
      <c r="DX35" s="715"/>
      <c r="DY35" s="715"/>
      <c r="DZ35" s="715"/>
      <c r="EA35" s="715"/>
      <c r="EB35" s="715"/>
      <c r="EC35" s="354"/>
      <c r="ED35" s="5"/>
      <c r="EE35" s="57"/>
      <c r="EF35" s="834" t="s">
        <v>15</v>
      </c>
      <c r="EG35" s="835"/>
      <c r="EH35" s="835"/>
      <c r="EI35" s="835"/>
      <c r="EJ35" s="835"/>
      <c r="EK35" s="835"/>
      <c r="EL35" s="835"/>
      <c r="EM35" s="835"/>
      <c r="EN35" s="835"/>
      <c r="EO35" s="835"/>
      <c r="EP35" s="835"/>
      <c r="EQ35" s="835"/>
      <c r="ER35" s="835"/>
      <c r="ES35" s="836"/>
      <c r="ET35" s="27"/>
      <c r="KB35" s="948" t="str">
        <f>IF(AND(AF30="oui",res_utiliser_recyclables=menu_utilisateur),"Utilisez les tonnages estimés sans ICI (b) pour ventiler les données (c)","")</f>
        <v/>
      </c>
      <c r="KC35" s="949"/>
      <c r="KD35" s="949"/>
      <c r="KE35" s="949"/>
      <c r="KF35" s="949"/>
      <c r="KG35" s="949"/>
      <c r="KH35" s="949"/>
      <c r="KI35" s="949"/>
      <c r="KJ35" s="949"/>
      <c r="KK35" s="949"/>
      <c r="KL35" s="949"/>
      <c r="KM35" s="949"/>
      <c r="KN35" s="950"/>
      <c r="KZ35" s="503"/>
    </row>
    <row r="36" spans="1:322" ht="45" customHeight="1" x14ac:dyDescent="0.25">
      <c r="C36" s="72"/>
      <c r="D36" s="72"/>
      <c r="E36" s="36"/>
      <c r="F36" s="342"/>
      <c r="I36" s="26"/>
      <c r="Q36" s="888" t="s">
        <v>671</v>
      </c>
      <c r="R36" s="889"/>
      <c r="S36" s="889"/>
      <c r="T36" s="889"/>
      <c r="V36" s="890" t="s">
        <v>628</v>
      </c>
      <c r="W36" s="889"/>
      <c r="X36" s="889"/>
      <c r="Y36" s="889"/>
      <c r="AA36" s="710" t="s">
        <v>612</v>
      </c>
      <c r="AB36" s="715"/>
      <c r="AC36" s="715"/>
      <c r="AD36" s="715"/>
      <c r="AH36" s="26"/>
      <c r="AP36" s="890" t="str">
        <f>$Q$36</f>
        <v>Récupéré (t) - collecte sélective</v>
      </c>
      <c r="AQ36" s="889"/>
      <c r="AR36" s="889"/>
      <c r="AS36" s="889"/>
      <c r="AT36" s="4"/>
      <c r="AU36" s="890" t="str">
        <f>$V$36</f>
        <v xml:space="preserve">Éliminé (t) - collecte des ordures </v>
      </c>
      <c r="AV36" s="889"/>
      <c r="AW36" s="889"/>
      <c r="AX36" s="889"/>
      <c r="AY36" s="19"/>
      <c r="AZ36" s="715" t="str">
        <f>AA36</f>
        <v>Généré (t)</v>
      </c>
      <c r="BA36" s="715"/>
      <c r="BB36" s="715"/>
      <c r="BC36" s="715"/>
      <c r="BF36" s="342"/>
      <c r="BH36" s="353"/>
      <c r="BI36" s="348"/>
      <c r="BJ36" s="348"/>
      <c r="BK36" s="348"/>
      <c r="BL36" s="348"/>
      <c r="BM36" s="348"/>
      <c r="BN36" s="348"/>
      <c r="BO36" s="348"/>
      <c r="BP36" s="348"/>
      <c r="BQ36" s="715" t="str">
        <f>AP36</f>
        <v>Récupéré (t) - collecte sélective</v>
      </c>
      <c r="BR36" s="715"/>
      <c r="BS36" s="715"/>
      <c r="BT36" s="715"/>
      <c r="BU36" s="4"/>
      <c r="BV36" s="715" t="str">
        <f>AU36</f>
        <v xml:space="preserve">Éliminé (t) - collecte des ordures </v>
      </c>
      <c r="BW36" s="715"/>
      <c r="BX36" s="715"/>
      <c r="BY36" s="715"/>
      <c r="BZ36" s="19"/>
      <c r="CA36" s="715" t="str">
        <f>AZ36</f>
        <v>Généré (t)</v>
      </c>
      <c r="CB36" s="715"/>
      <c r="CC36" s="715"/>
      <c r="CD36" s="715"/>
      <c r="CE36" s="354"/>
      <c r="CG36" s="363"/>
      <c r="CH36" s="151"/>
      <c r="CI36" s="151"/>
      <c r="CJ36" s="151"/>
      <c r="CK36" s="151"/>
      <c r="CL36" s="151"/>
      <c r="CM36" s="151"/>
      <c r="CN36" s="151"/>
      <c r="CO36" s="151"/>
      <c r="CP36" s="715" t="str">
        <f>BQ36</f>
        <v>Récupéré (t) - collecte sélective</v>
      </c>
      <c r="CQ36" s="715"/>
      <c r="CR36" s="715"/>
      <c r="CS36" s="715"/>
      <c r="CT36" s="4"/>
      <c r="CU36" s="715" t="str">
        <f>BV36</f>
        <v xml:space="preserve">Éliminé (t) - collecte des ordures </v>
      </c>
      <c r="CV36" s="715"/>
      <c r="CW36" s="715"/>
      <c r="CX36" s="715"/>
      <c r="CY36" s="19"/>
      <c r="CZ36" s="715" t="str">
        <f>CA36</f>
        <v>Généré (t)</v>
      </c>
      <c r="DA36" s="715"/>
      <c r="DB36" s="715"/>
      <c r="DC36" s="715"/>
      <c r="DD36" s="364"/>
      <c r="DE36" s="19"/>
      <c r="DF36" s="363"/>
      <c r="DG36" s="151"/>
      <c r="DH36" s="151"/>
      <c r="DI36" s="151"/>
      <c r="DJ36" s="151"/>
      <c r="DK36" s="151"/>
      <c r="DL36" s="151"/>
      <c r="DM36" s="151"/>
      <c r="DN36" s="151"/>
      <c r="DO36" s="715" t="str">
        <f>CP36</f>
        <v>Récupéré (t) - collecte sélective</v>
      </c>
      <c r="DP36" s="715"/>
      <c r="DQ36" s="715"/>
      <c r="DR36" s="715"/>
      <c r="DS36" s="4"/>
      <c r="DT36" s="715" t="str">
        <f>CU36</f>
        <v xml:space="preserve">Éliminé (t) - collecte des ordures </v>
      </c>
      <c r="DU36" s="715"/>
      <c r="DV36" s="715"/>
      <c r="DW36" s="715"/>
      <c r="DX36" s="19"/>
      <c r="DY36" s="715" t="str">
        <f>CZ36</f>
        <v>Généré (t)</v>
      </c>
      <c r="DZ36" s="715"/>
      <c r="EA36" s="715"/>
      <c r="EB36" s="715"/>
      <c r="EC36" s="364"/>
      <c r="EE36" s="57"/>
      <c r="EF36" s="715" t="str">
        <f>DO36</f>
        <v>Récupéré (t) - collecte sélective</v>
      </c>
      <c r="EG36" s="715"/>
      <c r="EH36" s="715"/>
      <c r="EI36" s="715"/>
      <c r="EJ36" s="4"/>
      <c r="EK36" s="715" t="str">
        <f>DT36</f>
        <v xml:space="preserve">Éliminé (t) - collecte des ordures </v>
      </c>
      <c r="EL36" s="715"/>
      <c r="EM36" s="715"/>
      <c r="EN36" s="715"/>
      <c r="EO36" s="19"/>
      <c r="EP36" s="715" t="str">
        <f>DY36</f>
        <v>Généré (t)</v>
      </c>
      <c r="EQ36" s="715"/>
      <c r="ER36" s="715"/>
      <c r="ES36" s="715"/>
      <c r="ET36" s="27"/>
      <c r="EV36" s="837" t="s">
        <v>635</v>
      </c>
      <c r="EW36" s="838"/>
      <c r="EX36" s="838"/>
      <c r="EY36" s="839"/>
      <c r="KB36" s="500" t="s">
        <v>714</v>
      </c>
      <c r="KC36" s="508" t="s">
        <v>704</v>
      </c>
      <c r="KN36" s="501"/>
      <c r="KZ36" s="501"/>
    </row>
    <row r="37" spans="1:322" ht="15" customHeight="1" x14ac:dyDescent="0.25">
      <c r="C37" s="72"/>
      <c r="D37" s="72"/>
      <c r="E37" s="36"/>
      <c r="F37" s="342"/>
      <c r="I37" s="701" t="s">
        <v>679</v>
      </c>
      <c r="J37" s="701"/>
      <c r="K37" s="701"/>
      <c r="L37" s="701"/>
      <c r="M37" s="701"/>
      <c r="N37" s="701"/>
      <c r="O37" s="701"/>
      <c r="P37" s="701"/>
      <c r="Q37" s="702" t="str">
        <f>IF(OR($Z$8="",$Z$9="",$Z$10="",$Z$11="",$Z$15="",$Z$16="",$Z$17="",$Z$18="",$Z$12="",$AF$30=""),N.D.,DO37)</f>
        <v>N.D.</v>
      </c>
      <c r="R37" s="702"/>
      <c r="S37" s="702"/>
      <c r="T37" s="702"/>
      <c r="U37" s="62"/>
      <c r="V37" s="702" t="str">
        <f>IF(OR($Z$8="",$Z$9="",$Z$10="",$Z$15="",$Z$16="",$Z$17="",$Z$11="",$AF$30=""),N.D.,DT37)</f>
        <v>N.D.</v>
      </c>
      <c r="W37" s="702"/>
      <c r="X37" s="702"/>
      <c r="Y37" s="702"/>
      <c r="Z37" s="62"/>
      <c r="AA37" s="702" t="str">
        <f>IF(OR(Q37=N.D.,V37=N.D.),N.D.,SUM(Q37,V37))</f>
        <v>N.D.</v>
      </c>
      <c r="AB37" s="702"/>
      <c r="AC37" s="702"/>
      <c r="AD37" s="702"/>
      <c r="AH37" s="731" t="str">
        <f>I37</f>
        <v>Papier et carton</v>
      </c>
      <c r="AI37" s="731"/>
      <c r="AJ37" s="731"/>
      <c r="AK37" s="731"/>
      <c r="AL37" s="731"/>
      <c r="AM37" s="731"/>
      <c r="AN37" s="731"/>
      <c r="AO37" s="731"/>
      <c r="AP37" s="722"/>
      <c r="AQ37" s="722"/>
      <c r="AR37" s="722"/>
      <c r="AS37" s="722"/>
      <c r="AT37" s="74"/>
      <c r="AU37" s="722"/>
      <c r="AV37" s="722"/>
      <c r="AW37" s="722"/>
      <c r="AX37" s="722"/>
      <c r="AY37" s="62"/>
      <c r="AZ37" s="755" t="str">
        <f>IF(AND(AP37="",AU37=""),"",IF(OR(AP37="",AU37=""),N.D.,SUM(AP37,AU37)))</f>
        <v/>
      </c>
      <c r="BA37" s="755"/>
      <c r="BB37" s="755"/>
      <c r="BC37" s="755"/>
      <c r="BF37" s="342"/>
      <c r="BH37" s="353"/>
      <c r="BI37" s="701" t="str">
        <f>I37</f>
        <v>Papier et carton</v>
      </c>
      <c r="BJ37" s="701"/>
      <c r="BK37" s="701"/>
      <c r="BL37" s="701"/>
      <c r="BM37" s="701"/>
      <c r="BN37" s="701"/>
      <c r="BO37" s="701"/>
      <c r="BP37" s="701"/>
      <c r="BQ37" s="702" t="str">
        <f>IF(res_utiliser_recyclables=menu_utilisateur,IF(OR(AP$42="",AP$42=N.D.),N.D.,AP37),IF(OR($Q$42="",$Q$42=N.D.),N.D.,Q37))</f>
        <v>N.D.</v>
      </c>
      <c r="BR37" s="702"/>
      <c r="BS37" s="702"/>
      <c r="BT37" s="702"/>
      <c r="BU37" s="348"/>
      <c r="BV37" s="702" t="str">
        <f>IF(res_utiliser_recyclables=menu_utilisateur,IF(OR(AU$42="",AU$42=N.D.),N.D.,AU37),IF(OR($Q$42="",$Q$42=N.D.),N.D.,V37))</f>
        <v>N.D.</v>
      </c>
      <c r="BW37" s="702"/>
      <c r="BX37" s="702"/>
      <c r="BY37" s="702"/>
      <c r="BZ37" s="348"/>
      <c r="CA37" s="702" t="str">
        <f>IF(OR(BQ37=N.D.,BV37=N.D.),N.D.,SUM(BQ37,BV37))</f>
        <v>N.D.</v>
      </c>
      <c r="CB37" s="702"/>
      <c r="CC37" s="702"/>
      <c r="CD37" s="702"/>
      <c r="CE37" s="354"/>
      <c r="CG37" s="353"/>
      <c r="CH37" s="701" t="str">
        <f>BI19</f>
        <v>Papier et carton</v>
      </c>
      <c r="CI37" s="701"/>
      <c r="CJ37" s="701"/>
      <c r="CK37" s="701"/>
      <c r="CL37" s="701"/>
      <c r="CM37" s="701"/>
      <c r="CN37" s="701"/>
      <c r="CO37" s="701"/>
      <c r="CP37" s="702">
        <f>CL19</f>
        <v>0</v>
      </c>
      <c r="CQ37" s="702"/>
      <c r="CR37" s="702"/>
      <c r="CS37" s="702"/>
      <c r="CT37" s="348"/>
      <c r="CU37" s="702">
        <f>DV19</f>
        <v>0</v>
      </c>
      <c r="CV37" s="702"/>
      <c r="CW37" s="702"/>
      <c r="CX37" s="702"/>
      <c r="CY37" s="348"/>
      <c r="CZ37" s="702">
        <f>IF(OR(CP37=N.D.,CU37=N.D.),N.D.,SUM(CP37,CU37))</f>
        <v>0</v>
      </c>
      <c r="DA37" s="702"/>
      <c r="DB37" s="702"/>
      <c r="DC37" s="702"/>
      <c r="DD37" s="354"/>
      <c r="DF37" s="353"/>
      <c r="DG37" s="701" t="str">
        <f>CH37</f>
        <v>Papier et carton</v>
      </c>
      <c r="DH37" s="701"/>
      <c r="DI37" s="701"/>
      <c r="DJ37" s="701"/>
      <c r="DK37" s="701"/>
      <c r="DL37" s="701"/>
      <c r="DM37" s="701"/>
      <c r="DN37" s="701"/>
      <c r="DO37" s="702" t="e">
        <f>IF(OR(CP37=N.D.,EF37=N.D.),N.D.,CP37-EF37)</f>
        <v>#VALUE!</v>
      </c>
      <c r="DP37" s="702"/>
      <c r="DQ37" s="702"/>
      <c r="DR37" s="702"/>
      <c r="DS37" s="348"/>
      <c r="DT37" s="702" t="e">
        <f>IF(OR(CU37=N.D.,EK37=N.D.),N.D.,CU37-EK37)</f>
        <v>#VALUE!</v>
      </c>
      <c r="DU37" s="702"/>
      <c r="DV37" s="702"/>
      <c r="DW37" s="702"/>
      <c r="DX37" s="348"/>
      <c r="DY37" s="702" t="e">
        <f>IF(OR(DO37=N.D.,DT37=N.D.),N.D.,SUM(DO37,DT37))</f>
        <v>#VALUE!</v>
      </c>
      <c r="DZ37" s="702"/>
      <c r="EA37" s="702"/>
      <c r="EB37" s="702"/>
      <c r="EC37" s="354"/>
      <c r="EE37" s="57"/>
      <c r="EF37" s="702" t="e">
        <f>'Données - ICI'!ET11*$EV$37</f>
        <v>#VALUE!</v>
      </c>
      <c r="EG37" s="702"/>
      <c r="EH37" s="702"/>
      <c r="EI37" s="702"/>
      <c r="EJ37" s="348"/>
      <c r="EK37" s="702" t="e">
        <f>'Données - ICI'!EY11*$EV$37</f>
        <v>#VALUE!</v>
      </c>
      <c r="EL37" s="702"/>
      <c r="EM37" s="702"/>
      <c r="EN37" s="702"/>
      <c r="EO37" s="348"/>
      <c r="EP37" s="702" t="e">
        <f>'Données - ICI'!FD11*$EV$37</f>
        <v>#VALUE!</v>
      </c>
      <c r="EQ37" s="702"/>
      <c r="ER37" s="702"/>
      <c r="ES37" s="702"/>
      <c r="ET37" s="27"/>
      <c r="EV37" s="941">
        <v>0</v>
      </c>
      <c r="EW37" s="942"/>
      <c r="EX37" s="942"/>
      <c r="EY37" s="943"/>
      <c r="KB37" s="500"/>
      <c r="KE37" s="721" t="s">
        <v>285</v>
      </c>
      <c r="KF37" s="721"/>
      <c r="KG37" s="721"/>
      <c r="KH37" s="721"/>
      <c r="KJ37" s="721" t="s">
        <v>286</v>
      </c>
      <c r="KK37" s="721"/>
      <c r="KL37" s="721"/>
      <c r="KM37" s="721"/>
      <c r="KN37" s="501"/>
      <c r="KZ37" s="501"/>
    </row>
    <row r="38" spans="1:322" ht="15" customHeight="1" thickBot="1" x14ac:dyDescent="0.3">
      <c r="C38" s="72"/>
      <c r="D38" s="72"/>
      <c r="E38" s="36"/>
      <c r="F38" s="342"/>
      <c r="I38" s="691" t="s">
        <v>387</v>
      </c>
      <c r="J38" s="691"/>
      <c r="K38" s="691"/>
      <c r="L38" s="691"/>
      <c r="M38" s="691"/>
      <c r="N38" s="691"/>
      <c r="O38" s="691"/>
      <c r="P38" s="691"/>
      <c r="Q38" s="702" t="str">
        <f>IF(OR($Z$8="",$Z$9="",$Z$10="",$Z$15="",$Z$16="",$Z$17="",$Z$11="",$AF$30=""),N.D.,DO38)</f>
        <v>N.D.</v>
      </c>
      <c r="R38" s="702"/>
      <c r="S38" s="702"/>
      <c r="T38" s="702"/>
      <c r="U38" s="62"/>
      <c r="V38" s="702" t="str">
        <f>IF(OR($Z$8="",$Z$9="",$Z$10="",$Z$15="",$Z$16="",$Z$17="",$Z$11="",$AF$30=""),N.D.,DT38)</f>
        <v>N.D.</v>
      </c>
      <c r="W38" s="702"/>
      <c r="X38" s="702"/>
      <c r="Y38" s="702"/>
      <c r="Z38" s="62"/>
      <c r="AA38" s="702" t="str">
        <f>IF(OR(Q38=N.D.,V38=N.D.),N.D.,SUM(Q38,V38))</f>
        <v>N.D.</v>
      </c>
      <c r="AB38" s="702"/>
      <c r="AC38" s="702"/>
      <c r="AD38" s="702"/>
      <c r="AH38" s="778" t="str">
        <f>I38</f>
        <v>Métal</v>
      </c>
      <c r="AI38" s="778"/>
      <c r="AJ38" s="778"/>
      <c r="AK38" s="778"/>
      <c r="AL38" s="778"/>
      <c r="AM38" s="778"/>
      <c r="AN38" s="778"/>
      <c r="AO38" s="778"/>
      <c r="AP38" s="868"/>
      <c r="AQ38" s="868"/>
      <c r="AR38" s="868"/>
      <c r="AS38" s="868"/>
      <c r="AT38" s="75"/>
      <c r="AU38" s="696"/>
      <c r="AV38" s="696"/>
      <c r="AW38" s="696"/>
      <c r="AX38" s="696"/>
      <c r="AY38" s="64"/>
      <c r="AZ38" s="755" t="str">
        <f>IF(AND(AP38="",AU38=""),"",IF(OR(AP38="",AU38=""),N.D.,SUM(AP38,AU38)))</f>
        <v/>
      </c>
      <c r="BA38" s="755"/>
      <c r="BB38" s="755"/>
      <c r="BC38" s="755"/>
      <c r="BF38" s="342"/>
      <c r="BH38" s="353"/>
      <c r="BI38" s="691" t="str">
        <f>I38</f>
        <v>Métal</v>
      </c>
      <c r="BJ38" s="691"/>
      <c r="BK38" s="691"/>
      <c r="BL38" s="691"/>
      <c r="BM38" s="691"/>
      <c r="BN38" s="691"/>
      <c r="BO38" s="691"/>
      <c r="BP38" s="691"/>
      <c r="BQ38" s="702" t="str">
        <f>IF(res_utiliser_recyclables=menu_utilisateur,IF(OR(AP$42="",AP$42=N.D.),N.D.,AP38),IF(OR($Q$42="",$Q$42=N.D.),N.D.,Q38))</f>
        <v>N.D.</v>
      </c>
      <c r="BR38" s="702"/>
      <c r="BS38" s="702"/>
      <c r="BT38" s="702"/>
      <c r="BU38" s="348"/>
      <c r="BV38" s="702" t="str">
        <f>IF(res_utiliser_recyclables=menu_utilisateur,IF(OR(AU$42="",AU$42=N.D.),N.D.,AU38),IF(OR($Q$42="",$Q$42=N.D.),N.D.,V38))</f>
        <v>N.D.</v>
      </c>
      <c r="BW38" s="702"/>
      <c r="BX38" s="702"/>
      <c r="BY38" s="702"/>
      <c r="BZ38" s="348"/>
      <c r="CA38" s="833" t="str">
        <f>IF(OR(BQ38=N.D.,BV38=N.D.),N.D.,SUM(BQ38,BV38))</f>
        <v>N.D.</v>
      </c>
      <c r="CB38" s="833"/>
      <c r="CC38" s="833"/>
      <c r="CD38" s="833"/>
      <c r="CE38" s="354"/>
      <c r="CG38" s="353"/>
      <c r="CH38" s="701" t="str">
        <f>BI20</f>
        <v>Métal</v>
      </c>
      <c r="CI38" s="701"/>
      <c r="CJ38" s="701"/>
      <c r="CK38" s="701"/>
      <c r="CL38" s="701"/>
      <c r="CM38" s="701"/>
      <c r="CN38" s="701"/>
      <c r="CO38" s="701"/>
      <c r="CP38" s="702">
        <f>CL20</f>
        <v>0</v>
      </c>
      <c r="CQ38" s="702"/>
      <c r="CR38" s="702"/>
      <c r="CS38" s="702"/>
      <c r="CT38" s="348"/>
      <c r="CU38" s="702">
        <f>DV20</f>
        <v>0</v>
      </c>
      <c r="CV38" s="702"/>
      <c r="CW38" s="702"/>
      <c r="CX38" s="702"/>
      <c r="CY38" s="348"/>
      <c r="CZ38" s="702">
        <f>IF(OR(CP38=N.D.,CU38=N.D.),N.D.,SUM(CP38,CU38))</f>
        <v>0</v>
      </c>
      <c r="DA38" s="702"/>
      <c r="DB38" s="702"/>
      <c r="DC38" s="702"/>
      <c r="DD38" s="354"/>
      <c r="DF38" s="353"/>
      <c r="DG38" s="701" t="str">
        <f>CH38</f>
        <v>Métal</v>
      </c>
      <c r="DH38" s="701"/>
      <c r="DI38" s="701"/>
      <c r="DJ38" s="701"/>
      <c r="DK38" s="701"/>
      <c r="DL38" s="701"/>
      <c r="DM38" s="701"/>
      <c r="DN38" s="701"/>
      <c r="DO38" s="702" t="e">
        <f>IF(OR(CP38=N.D.,EF38=N.D.),N.D.,CP38-EF38)</f>
        <v>#VALUE!</v>
      </c>
      <c r="DP38" s="702"/>
      <c r="DQ38" s="702"/>
      <c r="DR38" s="702"/>
      <c r="DS38" s="348"/>
      <c r="DT38" s="702" t="e">
        <f>IF(OR(CU38=N.D.,EK38=N.D.),N.D.,CU38-EK38)</f>
        <v>#VALUE!</v>
      </c>
      <c r="DU38" s="702"/>
      <c r="DV38" s="702"/>
      <c r="DW38" s="702"/>
      <c r="DX38" s="348"/>
      <c r="DY38" s="702" t="e">
        <f>IF(OR(DO38=N.D.,DT38=N.D.),N.D.,SUM(DO38,DT38))</f>
        <v>#VALUE!</v>
      </c>
      <c r="DZ38" s="702"/>
      <c r="EA38" s="702"/>
      <c r="EB38" s="702"/>
      <c r="EC38" s="354"/>
      <c r="EE38" s="57"/>
      <c r="EF38" s="702" t="e">
        <f>'Données - ICI'!ET12*$EV$37</f>
        <v>#VALUE!</v>
      </c>
      <c r="EG38" s="702"/>
      <c r="EH38" s="702"/>
      <c r="EI38" s="702"/>
      <c r="EJ38" s="348"/>
      <c r="EK38" s="702" t="e">
        <f>'Données - ICI'!EY12*$EV$37</f>
        <v>#VALUE!</v>
      </c>
      <c r="EL38" s="702"/>
      <c r="EM38" s="702"/>
      <c r="EN38" s="702"/>
      <c r="EO38" s="348"/>
      <c r="EP38" s="702" t="e">
        <f>'Données - ICI'!FD12*$EV$37</f>
        <v>#VALUE!</v>
      </c>
      <c r="EQ38" s="702"/>
      <c r="ER38" s="702"/>
      <c r="ES38" s="702"/>
      <c r="ET38" s="27"/>
      <c r="EV38" s="944"/>
      <c r="EW38" s="945"/>
      <c r="EX38" s="945"/>
      <c r="EY38" s="946"/>
      <c r="KB38" s="513"/>
      <c r="KC38" s="507" t="s">
        <v>697</v>
      </c>
      <c r="KD38" s="507"/>
      <c r="KE38" s="722"/>
      <c r="KF38" s="722"/>
      <c r="KG38" s="722"/>
      <c r="KH38" s="722"/>
      <c r="KI38" s="496"/>
      <c r="KJ38" s="722"/>
      <c r="KK38" s="722"/>
      <c r="KL38" s="722"/>
      <c r="KM38" s="722"/>
      <c r="KN38" s="501"/>
      <c r="KZ38" s="501"/>
    </row>
    <row r="39" spans="1:322" ht="15" customHeight="1" x14ac:dyDescent="0.25">
      <c r="C39" s="72"/>
      <c r="D39" s="72"/>
      <c r="E39" s="36"/>
      <c r="F39" s="342"/>
      <c r="I39" s="691" t="s">
        <v>388</v>
      </c>
      <c r="J39" s="691"/>
      <c r="K39" s="691"/>
      <c r="L39" s="691"/>
      <c r="M39" s="691"/>
      <c r="N39" s="691"/>
      <c r="O39" s="691"/>
      <c r="P39" s="691"/>
      <c r="Q39" s="702" t="str">
        <f>IF(OR($Z$8="",$Z$9="",$Z$10="",$Z$15="",$Z$16="",$Z$17="",$Z$11="",$AF$30=""),N.D.,DO39)</f>
        <v>N.D.</v>
      </c>
      <c r="R39" s="702"/>
      <c r="S39" s="702"/>
      <c r="T39" s="702"/>
      <c r="U39" s="62"/>
      <c r="V39" s="702" t="str">
        <f>IF(OR($Z$8="",$Z$9="",$Z$10="",$Z$15="",$Z$16="",$Z$17="",$Z$11="",$AF$30=""),N.D.,DT39)</f>
        <v>N.D.</v>
      </c>
      <c r="W39" s="702"/>
      <c r="X39" s="702"/>
      <c r="Y39" s="702"/>
      <c r="Z39" s="62"/>
      <c r="AA39" s="702" t="str">
        <f>IF(OR(Q39=N.D.,V39=N.D.),N.D.,SUM(Q39,V39))</f>
        <v>N.D.</v>
      </c>
      <c r="AB39" s="702"/>
      <c r="AC39" s="702"/>
      <c r="AD39" s="702"/>
      <c r="AH39" s="778" t="str">
        <f>I39</f>
        <v>Plastique</v>
      </c>
      <c r="AI39" s="778"/>
      <c r="AJ39" s="778"/>
      <c r="AK39" s="778"/>
      <c r="AL39" s="778"/>
      <c r="AM39" s="778"/>
      <c r="AN39" s="778"/>
      <c r="AO39" s="778"/>
      <c r="AP39" s="696"/>
      <c r="AQ39" s="696"/>
      <c r="AR39" s="696"/>
      <c r="AS39" s="696"/>
      <c r="AT39" s="75"/>
      <c r="AU39" s="696"/>
      <c r="AV39" s="696"/>
      <c r="AW39" s="696"/>
      <c r="AX39" s="696"/>
      <c r="AY39" s="64"/>
      <c r="AZ39" s="755" t="str">
        <f>IF(AND(AP39="",AU39=""),"",IF(OR(AP39="",AU39=""),N.D.,SUM(AP39,AU39)))</f>
        <v/>
      </c>
      <c r="BA39" s="755"/>
      <c r="BB39" s="755"/>
      <c r="BC39" s="755"/>
      <c r="BF39" s="342"/>
      <c r="BH39" s="353"/>
      <c r="BI39" s="691" t="str">
        <f>I39</f>
        <v>Plastique</v>
      </c>
      <c r="BJ39" s="691"/>
      <c r="BK39" s="691"/>
      <c r="BL39" s="691"/>
      <c r="BM39" s="691"/>
      <c r="BN39" s="691"/>
      <c r="BO39" s="691"/>
      <c r="BP39" s="691"/>
      <c r="BQ39" s="702" t="str">
        <f>IF(res_utiliser_recyclables=menu_utilisateur,IF(OR(AP$42="",AP$42=N.D.),N.D.,AP39),IF(OR($Q$42="",$Q$42=N.D.),N.D.,Q39))</f>
        <v>N.D.</v>
      </c>
      <c r="BR39" s="702"/>
      <c r="BS39" s="702"/>
      <c r="BT39" s="702"/>
      <c r="BU39" s="348"/>
      <c r="BV39" s="702" t="str">
        <f>IF(res_utiliser_recyclables=menu_utilisateur,IF(OR(AU$42="",AU$42=N.D.),N.D.,AU39),IF(OR($Q$42="",$Q$42=N.D.),N.D.,V39))</f>
        <v>N.D.</v>
      </c>
      <c r="BW39" s="702"/>
      <c r="BX39" s="702"/>
      <c r="BY39" s="702"/>
      <c r="BZ39" s="348"/>
      <c r="CA39" s="833" t="str">
        <f>IF(OR(BQ39=N.D.,BV39=N.D.),N.D.,SUM(BQ39,BV39))</f>
        <v>N.D.</v>
      </c>
      <c r="CB39" s="833"/>
      <c r="CC39" s="833"/>
      <c r="CD39" s="833"/>
      <c r="CE39" s="354"/>
      <c r="CG39" s="353"/>
      <c r="CH39" s="701" t="str">
        <f>BI23</f>
        <v>Plastique</v>
      </c>
      <c r="CI39" s="701"/>
      <c r="CJ39" s="701"/>
      <c r="CK39" s="701"/>
      <c r="CL39" s="701"/>
      <c r="CM39" s="701"/>
      <c r="CN39" s="701"/>
      <c r="CO39" s="701"/>
      <c r="CP39" s="702">
        <f>CL23</f>
        <v>0</v>
      </c>
      <c r="CQ39" s="702"/>
      <c r="CR39" s="702"/>
      <c r="CS39" s="702"/>
      <c r="CT39" s="348"/>
      <c r="CU39" s="702">
        <f>DV23</f>
        <v>0</v>
      </c>
      <c r="CV39" s="702"/>
      <c r="CW39" s="702"/>
      <c r="CX39" s="702"/>
      <c r="CY39" s="348"/>
      <c r="CZ39" s="702">
        <f>IF(OR(CP39=N.D.,CU39=N.D.),N.D.,SUM(CP39,CU39))</f>
        <v>0</v>
      </c>
      <c r="DA39" s="702"/>
      <c r="DB39" s="702"/>
      <c r="DC39" s="702"/>
      <c r="DD39" s="354"/>
      <c r="DF39" s="353"/>
      <c r="DG39" s="701" t="str">
        <f>CH39</f>
        <v>Plastique</v>
      </c>
      <c r="DH39" s="701"/>
      <c r="DI39" s="701"/>
      <c r="DJ39" s="701"/>
      <c r="DK39" s="701"/>
      <c r="DL39" s="701"/>
      <c r="DM39" s="701"/>
      <c r="DN39" s="701"/>
      <c r="DO39" s="702" t="e">
        <f>IF(OR(CP39=N.D.,EF39=N.D.),N.D.,CP39-EF39)</f>
        <v>#VALUE!</v>
      </c>
      <c r="DP39" s="702"/>
      <c r="DQ39" s="702"/>
      <c r="DR39" s="702"/>
      <c r="DS39" s="348"/>
      <c r="DT39" s="702" t="e">
        <f>IF(OR(CU39=N.D.,EK39=N.D.),N.D.,CU39-EK39)</f>
        <v>#VALUE!</v>
      </c>
      <c r="DU39" s="702"/>
      <c r="DV39" s="702"/>
      <c r="DW39" s="702"/>
      <c r="DX39" s="348"/>
      <c r="DY39" s="702" t="e">
        <f>IF(OR(DO39=N.D.,DT39=N.D.),N.D.,SUM(DO39,DT39))</f>
        <v>#VALUE!</v>
      </c>
      <c r="DZ39" s="702"/>
      <c r="EA39" s="702"/>
      <c r="EB39" s="702"/>
      <c r="EC39" s="354"/>
      <c r="EE39" s="57"/>
      <c r="EF39" s="702" t="e">
        <f>'Données - ICI'!ET13*$EV$37</f>
        <v>#VALUE!</v>
      </c>
      <c r="EG39" s="702"/>
      <c r="EH39" s="702"/>
      <c r="EI39" s="702"/>
      <c r="EJ39" s="348"/>
      <c r="EK39" s="702" t="e">
        <f>'Données - ICI'!EY13*$EV$37</f>
        <v>#VALUE!</v>
      </c>
      <c r="EL39" s="702"/>
      <c r="EM39" s="702"/>
      <c r="EN39" s="702"/>
      <c r="EO39" s="348"/>
      <c r="EP39" s="702" t="e">
        <f>'Données - ICI'!FD13*$EV$37</f>
        <v>#VALUE!</v>
      </c>
      <c r="EQ39" s="702"/>
      <c r="ER39" s="702"/>
      <c r="ES39" s="702"/>
      <c r="ET39" s="27"/>
      <c r="KB39" s="500"/>
      <c r="KN39" s="501"/>
      <c r="KZ39" s="501"/>
    </row>
    <row r="40" spans="1:322" ht="15" customHeight="1" x14ac:dyDescent="0.25">
      <c r="C40" s="72"/>
      <c r="D40" s="72"/>
      <c r="E40" s="36"/>
      <c r="F40" s="342"/>
      <c r="I40" s="691" t="s">
        <v>386</v>
      </c>
      <c r="J40" s="691"/>
      <c r="K40" s="691"/>
      <c r="L40" s="691"/>
      <c r="M40" s="691"/>
      <c r="N40" s="691"/>
      <c r="O40" s="691"/>
      <c r="P40" s="691"/>
      <c r="Q40" s="702" t="str">
        <f>IF(OR($Z$8="",$Z$9="",$Z$10="",$Z$15="",$Z$16="",$Z$17="",$Z$11="",$AF$30=""),N.D.,DO40)</f>
        <v>N.D.</v>
      </c>
      <c r="R40" s="702"/>
      <c r="S40" s="702"/>
      <c r="T40" s="702"/>
      <c r="U40" s="62"/>
      <c r="V40" s="702" t="str">
        <f>IF(OR($Z$8="",$Z$9="",$Z$10="",$Z$15="",$Z$16="",$Z$17="",$Z$11="",$AF$30=""),N.D.,DT40)</f>
        <v>N.D.</v>
      </c>
      <c r="W40" s="702"/>
      <c r="X40" s="702"/>
      <c r="Y40" s="702"/>
      <c r="Z40" s="62"/>
      <c r="AA40" s="702" t="str">
        <f>IF(OR(Q40=N.D.,V40=N.D.),N.D.,SUM(Q40,V40))</f>
        <v>N.D.</v>
      </c>
      <c r="AB40" s="702"/>
      <c r="AC40" s="702"/>
      <c r="AD40" s="702"/>
      <c r="AH40" s="778" t="str">
        <f>I40</f>
        <v>Verre</v>
      </c>
      <c r="AI40" s="778"/>
      <c r="AJ40" s="778"/>
      <c r="AK40" s="778"/>
      <c r="AL40" s="778"/>
      <c r="AM40" s="778"/>
      <c r="AN40" s="778"/>
      <c r="AO40" s="778"/>
      <c r="AP40" s="696"/>
      <c r="AQ40" s="696"/>
      <c r="AR40" s="696"/>
      <c r="AS40" s="696"/>
      <c r="AT40" s="75"/>
      <c r="AU40" s="696"/>
      <c r="AV40" s="696"/>
      <c r="AW40" s="696"/>
      <c r="AX40" s="696"/>
      <c r="AY40" s="64"/>
      <c r="AZ40" s="755" t="str">
        <f>IF(AND(AP40="",AU40=""),"",IF(OR(AP40="",AU40=""),N.D.,SUM(AP40,AU40)))</f>
        <v/>
      </c>
      <c r="BA40" s="755"/>
      <c r="BB40" s="755"/>
      <c r="BC40" s="755"/>
      <c r="BF40" s="342"/>
      <c r="BH40" s="353"/>
      <c r="BI40" s="691" t="str">
        <f>I40</f>
        <v>Verre</v>
      </c>
      <c r="BJ40" s="691"/>
      <c r="BK40" s="691"/>
      <c r="BL40" s="691"/>
      <c r="BM40" s="691"/>
      <c r="BN40" s="691"/>
      <c r="BO40" s="691"/>
      <c r="BP40" s="691"/>
      <c r="BQ40" s="702" t="str">
        <f>IF(res_utiliser_recyclables=menu_utilisateur,IF(OR(AP$42="",AP$42=N.D.),N.D.,AP40),IF(OR($Q$42="",$Q$42=N.D.),N.D.,Q40))</f>
        <v>N.D.</v>
      </c>
      <c r="BR40" s="702"/>
      <c r="BS40" s="702"/>
      <c r="BT40" s="702"/>
      <c r="BU40" s="348"/>
      <c r="BV40" s="702" t="str">
        <f>IF(res_utiliser_recyclables=menu_utilisateur,IF(OR(AU$42="",AU$42=N.D.),N.D.,AU40),IF(OR($Q$42="",$Q$42=N.D.),N.D.,V40))</f>
        <v>N.D.</v>
      </c>
      <c r="BW40" s="702"/>
      <c r="BX40" s="702"/>
      <c r="BY40" s="702"/>
      <c r="BZ40" s="348"/>
      <c r="CA40" s="833" t="str">
        <f>IF(OR(BQ40=N.D.,BV40=N.D.),N.D.,SUM(BQ40,BV40))</f>
        <v>N.D.</v>
      </c>
      <c r="CB40" s="833"/>
      <c r="CC40" s="833"/>
      <c r="CD40" s="833"/>
      <c r="CE40" s="354"/>
      <c r="CG40" s="353"/>
      <c r="CH40" s="701" t="str">
        <f>BI24</f>
        <v>Verre</v>
      </c>
      <c r="CI40" s="701"/>
      <c r="CJ40" s="701"/>
      <c r="CK40" s="701"/>
      <c r="CL40" s="701"/>
      <c r="CM40" s="701"/>
      <c r="CN40" s="701"/>
      <c r="CO40" s="701"/>
      <c r="CP40" s="702">
        <f>CL24</f>
        <v>0</v>
      </c>
      <c r="CQ40" s="702"/>
      <c r="CR40" s="702"/>
      <c r="CS40" s="702"/>
      <c r="CT40" s="348"/>
      <c r="CU40" s="702">
        <f>DV24</f>
        <v>0</v>
      </c>
      <c r="CV40" s="702"/>
      <c r="CW40" s="702"/>
      <c r="CX40" s="702"/>
      <c r="CY40" s="348"/>
      <c r="CZ40" s="702">
        <f>IF(OR(CP40=N.D.,CU40=N.D.),N.D.,SUM(CP40,CU40))</f>
        <v>0</v>
      </c>
      <c r="DA40" s="702"/>
      <c r="DB40" s="702"/>
      <c r="DC40" s="702"/>
      <c r="DD40" s="354"/>
      <c r="DF40" s="353"/>
      <c r="DG40" s="701" t="str">
        <f>CH40</f>
        <v>Verre</v>
      </c>
      <c r="DH40" s="701"/>
      <c r="DI40" s="701"/>
      <c r="DJ40" s="701"/>
      <c r="DK40" s="701"/>
      <c r="DL40" s="701"/>
      <c r="DM40" s="701"/>
      <c r="DN40" s="701"/>
      <c r="DO40" s="702" t="e">
        <f>IF(OR(CP40=N.D.,EF40=N.D.),N.D.,CP40-EF40)</f>
        <v>#VALUE!</v>
      </c>
      <c r="DP40" s="702"/>
      <c r="DQ40" s="702"/>
      <c r="DR40" s="702"/>
      <c r="DS40" s="348"/>
      <c r="DT40" s="702" t="e">
        <f>IF(OR(CU40=N.D.,EK40=N.D.),N.D.,CU40-EK40)</f>
        <v>#VALUE!</v>
      </c>
      <c r="DU40" s="702"/>
      <c r="DV40" s="702"/>
      <c r="DW40" s="702"/>
      <c r="DX40" s="348"/>
      <c r="DY40" s="702" t="e">
        <f>IF(OR(DO40=N.D.,DT40=N.D.),N.D.,SUM(DO40,DT40))</f>
        <v>#VALUE!</v>
      </c>
      <c r="DZ40" s="702"/>
      <c r="EA40" s="702"/>
      <c r="EB40" s="702"/>
      <c r="EC40" s="354"/>
      <c r="EE40" s="57"/>
      <c r="EF40" s="702" t="e">
        <f>'Données - ICI'!ET14*$EV$37</f>
        <v>#VALUE!</v>
      </c>
      <c r="EG40" s="702"/>
      <c r="EH40" s="702"/>
      <c r="EI40" s="702"/>
      <c r="EJ40" s="348"/>
      <c r="EK40" s="702" t="e">
        <f>'Données - ICI'!EY14*$EV$37</f>
        <v>#VALUE!</v>
      </c>
      <c r="EL40" s="702"/>
      <c r="EM40" s="702"/>
      <c r="EN40" s="702"/>
      <c r="EO40" s="348"/>
      <c r="EP40" s="702" t="e">
        <f>'Données - ICI'!FD14*$EV$37</f>
        <v>#VALUE!</v>
      </c>
      <c r="EQ40" s="702"/>
      <c r="ER40" s="702"/>
      <c r="ES40" s="702"/>
      <c r="ET40" s="27"/>
      <c r="KB40" s="500" t="s">
        <v>759</v>
      </c>
      <c r="KC40" s="280" t="s">
        <v>695</v>
      </c>
      <c r="KN40" s="501"/>
      <c r="KQ40" s="721" t="s">
        <v>705</v>
      </c>
      <c r="KR40" s="721"/>
      <c r="KS40" s="721"/>
      <c r="KT40" s="721"/>
      <c r="KU40" s="721"/>
      <c r="KV40" s="721"/>
      <c r="KW40" s="721"/>
      <c r="KX40" s="721"/>
      <c r="KY40" s="721"/>
      <c r="KZ40" s="501"/>
    </row>
    <row r="41" spans="1:322" ht="15" customHeight="1" x14ac:dyDescent="0.25">
      <c r="C41" s="72"/>
      <c r="D41" s="72"/>
      <c r="E41" s="36"/>
      <c r="F41" s="342"/>
      <c r="Q41" s="63"/>
      <c r="R41" s="63"/>
      <c r="S41" s="63"/>
      <c r="T41" s="63"/>
      <c r="U41" s="63"/>
      <c r="V41" s="63"/>
      <c r="W41" s="63"/>
      <c r="X41" s="63"/>
      <c r="Y41" s="63"/>
      <c r="Z41" s="63"/>
      <c r="AA41" s="63"/>
      <c r="AB41" s="63"/>
      <c r="AC41" s="63"/>
      <c r="AD41" s="63"/>
      <c r="AP41" s="63"/>
      <c r="AQ41" s="63"/>
      <c r="AR41" s="63"/>
      <c r="AS41" s="63"/>
      <c r="AT41" s="63"/>
      <c r="AU41" s="63"/>
      <c r="AV41" s="63"/>
      <c r="AW41" s="63"/>
      <c r="AX41" s="63"/>
      <c r="AY41" s="63"/>
      <c r="AZ41" s="63"/>
      <c r="BA41" s="63"/>
      <c r="BB41" s="63"/>
      <c r="BC41" s="63"/>
      <c r="BF41" s="342"/>
      <c r="BH41" s="353"/>
      <c r="BQ41" s="348"/>
      <c r="BR41" s="348"/>
      <c r="BS41" s="348"/>
      <c r="BT41" s="348"/>
      <c r="BU41" s="348"/>
      <c r="BV41" s="348"/>
      <c r="BW41" s="348"/>
      <c r="BX41" s="348"/>
      <c r="BY41" s="348"/>
      <c r="BZ41" s="348"/>
      <c r="CA41" s="348"/>
      <c r="CB41" s="348"/>
      <c r="CC41" s="348"/>
      <c r="CD41" s="348"/>
      <c r="CE41" s="354"/>
      <c r="CG41" s="353"/>
      <c r="CP41" s="348"/>
      <c r="CQ41" s="348"/>
      <c r="CR41" s="348"/>
      <c r="CS41" s="348"/>
      <c r="CT41" s="348"/>
      <c r="CU41" s="348"/>
      <c r="CV41" s="348"/>
      <c r="CW41" s="348"/>
      <c r="CX41" s="348"/>
      <c r="CY41" s="348"/>
      <c r="CZ41" s="348"/>
      <c r="DA41" s="348"/>
      <c r="DB41" s="348"/>
      <c r="DC41" s="348"/>
      <c r="DD41" s="354"/>
      <c r="DF41" s="353"/>
      <c r="DO41" s="348"/>
      <c r="DP41" s="348"/>
      <c r="DQ41" s="348"/>
      <c r="DR41" s="348"/>
      <c r="DS41" s="348"/>
      <c r="DT41" s="348"/>
      <c r="DU41" s="348"/>
      <c r="DV41" s="348"/>
      <c r="DW41" s="348"/>
      <c r="DX41" s="348"/>
      <c r="DY41" s="348"/>
      <c r="DZ41" s="348"/>
      <c r="EA41" s="348"/>
      <c r="EB41" s="348"/>
      <c r="EC41" s="354"/>
      <c r="EE41" s="57"/>
      <c r="EF41" s="348"/>
      <c r="EG41" s="348"/>
      <c r="EH41" s="348"/>
      <c r="EI41" s="348"/>
      <c r="EJ41" s="348"/>
      <c r="EK41" s="348"/>
      <c r="EL41" s="348"/>
      <c r="EM41" s="348"/>
      <c r="EN41" s="348"/>
      <c r="EO41" s="348"/>
      <c r="EP41" s="348"/>
      <c r="EQ41" s="348"/>
      <c r="ER41" s="348"/>
      <c r="ES41" s="348"/>
      <c r="ET41" s="27"/>
      <c r="KB41" s="500"/>
      <c r="KE41" s="721" t="s">
        <v>285</v>
      </c>
      <c r="KF41" s="721"/>
      <c r="KG41" s="721"/>
      <c r="KH41" s="721"/>
      <c r="KJ41" s="721" t="s">
        <v>286</v>
      </c>
      <c r="KK41" s="721"/>
      <c r="KL41" s="721"/>
      <c r="KM41" s="721"/>
      <c r="KN41" s="501"/>
      <c r="KQ41" s="721" t="s">
        <v>285</v>
      </c>
      <c r="KR41" s="721"/>
      <c r="KS41" s="721"/>
      <c r="KT41" s="721"/>
      <c r="KV41" s="721" t="s">
        <v>286</v>
      </c>
      <c r="KW41" s="721"/>
      <c r="KX41" s="721"/>
      <c r="KY41" s="721"/>
      <c r="KZ41" s="501"/>
      <c r="LI41" s="189"/>
      <c r="LJ41" s="189"/>
    </row>
    <row r="42" spans="1:322" ht="15" customHeight="1" x14ac:dyDescent="0.25">
      <c r="C42" s="72"/>
      <c r="D42" s="72"/>
      <c r="E42" s="36"/>
      <c r="F42" s="342"/>
      <c r="I42" s="730" t="s">
        <v>276</v>
      </c>
      <c r="J42" s="730"/>
      <c r="K42" s="730"/>
      <c r="L42" s="730"/>
      <c r="M42" s="730"/>
      <c r="N42" s="730"/>
      <c r="O42" s="730"/>
      <c r="P42" s="730"/>
      <c r="Q42" s="743" t="str">
        <f>IF(COUNTIF(Q37:Q40,N.D.)&gt;0,N.D.,SUM(Q37:Q40))</f>
        <v>N.D.</v>
      </c>
      <c r="R42" s="743"/>
      <c r="S42" s="743"/>
      <c r="T42" s="743"/>
      <c r="U42" s="64"/>
      <c r="V42" s="743" t="str">
        <f>IF(COUNTIF(V37:V40,N.D.)&gt;0,N.D.,SUM(V37:V40))</f>
        <v>N.D.</v>
      </c>
      <c r="W42" s="743"/>
      <c r="X42" s="743"/>
      <c r="Y42" s="743"/>
      <c r="Z42" s="64"/>
      <c r="AA42" s="743" t="str">
        <f>IF(OR(Q42=N.D.,V42=N.D.),N.D.,SUM(Q42,V42))</f>
        <v>N.D.</v>
      </c>
      <c r="AB42" s="743"/>
      <c r="AC42" s="743"/>
      <c r="AD42" s="743"/>
      <c r="AH42" s="730" t="str">
        <f>I42</f>
        <v>Total</v>
      </c>
      <c r="AI42" s="730"/>
      <c r="AJ42" s="730"/>
      <c r="AK42" s="730"/>
      <c r="AL42" s="730"/>
      <c r="AM42" s="730"/>
      <c r="AN42" s="730"/>
      <c r="AO42" s="730"/>
      <c r="AP42" s="765" t="str">
        <f>IF(COUNTA(AP37:AP40)=0,"",IF(AND(res_utiliser_recyclables=menu_utilisateur,COUNTBLANK(AP37:AP40)&gt;0),N.D.,SUM(AP37:AP40)))</f>
        <v/>
      </c>
      <c r="AQ42" s="765"/>
      <c r="AR42" s="765"/>
      <c r="AS42" s="765"/>
      <c r="AT42" s="64"/>
      <c r="AU42" s="765" t="str">
        <f>IF(COUNTA(AU37:AU40)=0,"",IF(AND(res_utiliser_recyclables=menu_utilisateur,COUNTBLANK(AU37:AU40)&gt;0),N.D.,SUM(AU37:AU40)))</f>
        <v/>
      </c>
      <c r="AV42" s="765"/>
      <c r="AW42" s="765"/>
      <c r="AX42" s="765"/>
      <c r="AY42" s="64"/>
      <c r="AZ42" s="743" t="str">
        <f>IF(AND(AP42="",AU42=""),"",IF(OR(AP42=N.D.,AU42=N.D.),N.D.,SUM(AP42,AU42)))</f>
        <v/>
      </c>
      <c r="BA42" s="743"/>
      <c r="BB42" s="743"/>
      <c r="BC42" s="743"/>
      <c r="BF42" s="342"/>
      <c r="BH42" s="57"/>
      <c r="BI42" s="730" t="str">
        <f>I42</f>
        <v>Total</v>
      </c>
      <c r="BJ42" s="730"/>
      <c r="BK42" s="730"/>
      <c r="BL42" s="730"/>
      <c r="BM42" s="730"/>
      <c r="BN42" s="730"/>
      <c r="BO42" s="730"/>
      <c r="BP42" s="730"/>
      <c r="BQ42" s="833" t="str">
        <f>IF(COUNTIF(BQ37:BQ40,N.D.)&gt;0,N.D.,SUM(BQ37:BQ40))</f>
        <v>N.D.</v>
      </c>
      <c r="BR42" s="833"/>
      <c r="BS42" s="833"/>
      <c r="BT42" s="833"/>
      <c r="BV42" s="833" t="str">
        <f>IF(COUNTIF(BV37:BV40,N.D.)&gt;0,N.D.,SUM(BV37:BV40))</f>
        <v>N.D.</v>
      </c>
      <c r="BW42" s="833"/>
      <c r="BX42" s="833"/>
      <c r="BY42" s="833"/>
      <c r="CA42" s="702" t="str">
        <f>IF(OR(BQ42=N.D.,BV42=N.D.),N.D.,SUM(BQ42,BV42))</f>
        <v>N.D.</v>
      </c>
      <c r="CB42" s="702"/>
      <c r="CC42" s="702"/>
      <c r="CD42" s="702"/>
      <c r="CE42" s="27"/>
      <c r="CG42" s="57"/>
      <c r="CH42" s="730" t="str">
        <f>BI42</f>
        <v>Total</v>
      </c>
      <c r="CI42" s="730"/>
      <c r="CJ42" s="730"/>
      <c r="CK42" s="730"/>
      <c r="CL42" s="730"/>
      <c r="CM42" s="730"/>
      <c r="CN42" s="730"/>
      <c r="CO42" s="730"/>
      <c r="CP42" s="833">
        <f>IF(COUNTIF(CP37:CP40,N.D.)&gt;0,N.D.,SUM(CP37:CP40))</f>
        <v>0</v>
      </c>
      <c r="CQ42" s="833"/>
      <c r="CR42" s="833"/>
      <c r="CS42" s="833"/>
      <c r="CU42" s="833">
        <f>IF(COUNTIF(CU37:CU40,N.D.)&gt;0,N.D.,SUM(CU37:CU40))</f>
        <v>0</v>
      </c>
      <c r="CV42" s="833"/>
      <c r="CW42" s="833"/>
      <c r="CX42" s="833"/>
      <c r="CZ42" s="833">
        <f>IF(OR(CP42=N.D.,CU42=N.D.),N.D.,SUM(CP42,CU42))</f>
        <v>0</v>
      </c>
      <c r="DA42" s="833"/>
      <c r="DB42" s="833"/>
      <c r="DC42" s="833"/>
      <c r="DD42" s="27"/>
      <c r="DF42" s="57"/>
      <c r="DG42" s="730" t="str">
        <f>CH42</f>
        <v>Total</v>
      </c>
      <c r="DH42" s="730"/>
      <c r="DI42" s="730"/>
      <c r="DJ42" s="730"/>
      <c r="DK42" s="730"/>
      <c r="DL42" s="730"/>
      <c r="DM42" s="730"/>
      <c r="DN42" s="730"/>
      <c r="DO42" s="833" t="e">
        <f>IF(COUNTIF(DO37:DO40,N.D.)&gt;0,N.D.,SUM(DO37:DO40))</f>
        <v>#VALUE!</v>
      </c>
      <c r="DP42" s="833"/>
      <c r="DQ42" s="833"/>
      <c r="DR42" s="833"/>
      <c r="DT42" s="833" t="e">
        <f>IF(COUNTIF(DT37:DT40,N.D.)&gt;0,N.D.,SUM(DT37:DT40))</f>
        <v>#VALUE!</v>
      </c>
      <c r="DU42" s="833"/>
      <c r="DV42" s="833"/>
      <c r="DW42" s="833"/>
      <c r="DY42" s="833" t="e">
        <f>IF(OR(DO42=N.D.,DT42=N.D.),N.D.,SUM(DO42,DT42))</f>
        <v>#VALUE!</v>
      </c>
      <c r="DZ42" s="833"/>
      <c r="EA42" s="833"/>
      <c r="EB42" s="833"/>
      <c r="EC42" s="27"/>
      <c r="EE42" s="57"/>
      <c r="EF42" s="702" t="e">
        <f>'Données - ICI'!ET16*$EV$37</f>
        <v>#VALUE!</v>
      </c>
      <c r="EG42" s="702"/>
      <c r="EH42" s="702"/>
      <c r="EI42" s="702"/>
      <c r="EK42" s="702" t="e">
        <f>'Données - ICI'!EY16*$EV$37</f>
        <v>#VALUE!</v>
      </c>
      <c r="EL42" s="702"/>
      <c r="EM42" s="702"/>
      <c r="EN42" s="702"/>
      <c r="EP42" s="702" t="e">
        <f>'Données - ICI'!FD16*$EV$37</f>
        <v>#VALUE!</v>
      </c>
      <c r="EQ42" s="702"/>
      <c r="ER42" s="702"/>
      <c r="ES42" s="702"/>
      <c r="ET42" s="27"/>
      <c r="KB42" s="500"/>
      <c r="KC42" s="507" t="s">
        <v>679</v>
      </c>
      <c r="KD42" s="507"/>
      <c r="KE42" s="719">
        <f>IF($KQ$42="",$KE$38*67.5%,$KE$38*$KQ$42)</f>
        <v>0</v>
      </c>
      <c r="KF42" s="719"/>
      <c r="KG42" s="719"/>
      <c r="KH42" s="719"/>
      <c r="KI42" s="496"/>
      <c r="KJ42" s="719">
        <f>IF($KV$42="",$KJ$38*10.5%,$KJ$38*$KV$42)</f>
        <v>0</v>
      </c>
      <c r="KK42" s="719"/>
      <c r="KL42" s="719"/>
      <c r="KM42" s="719"/>
      <c r="KN42" s="501"/>
      <c r="KQ42" s="720">
        <v>0.67500000000000004</v>
      </c>
      <c r="KR42" s="720"/>
      <c r="KS42" s="720"/>
      <c r="KT42" s="720"/>
      <c r="KV42" s="720">
        <v>0.105</v>
      </c>
      <c r="KW42" s="720"/>
      <c r="KX42" s="720"/>
      <c r="KY42" s="720"/>
      <c r="KZ42" s="501"/>
    </row>
    <row r="43" spans="1:322" ht="15" customHeight="1" thickBot="1" x14ac:dyDescent="0.3">
      <c r="C43" s="72"/>
      <c r="D43" s="72"/>
      <c r="E43" s="36"/>
      <c r="F43" s="342"/>
      <c r="I43" s="770" t="str">
        <f>IF((COUNTIF(Q42,N.D.)+(COUNTIF(V42,N.D.)))=0,"",N.D.)</f>
        <v>N.D.</v>
      </c>
      <c r="J43" s="770"/>
      <c r="K43" s="735" t="str">
        <f>IF(I43=N.D.,txt_N.D.&amp;I5&amp;" ou "&amp;I22,"")</f>
        <v>Non disponible : vérifiez les données à la question 2.1. ou 2.2.</v>
      </c>
      <c r="L43" s="735"/>
      <c r="M43" s="735"/>
      <c r="N43" s="735"/>
      <c r="O43" s="735"/>
      <c r="P43" s="735"/>
      <c r="Q43" s="735"/>
      <c r="R43" s="735"/>
      <c r="S43" s="735"/>
      <c r="T43" s="735"/>
      <c r="U43" s="735"/>
      <c r="V43" s="735"/>
      <c r="W43" s="735"/>
      <c r="X43" s="735"/>
      <c r="Y43" s="735"/>
      <c r="Z43" s="735"/>
      <c r="AA43" s="735"/>
      <c r="AB43" s="735"/>
      <c r="AC43" s="735"/>
      <c r="AD43" s="735"/>
      <c r="AH43" s="94" t="str">
        <f>IF((COUNTIF(AP37:AP40,"")+(COUNTIF(AU37:AU40,"")))=0,"plein","vide")</f>
        <v>vide</v>
      </c>
      <c r="BF43" s="342"/>
      <c r="BH43" s="58"/>
      <c r="BI43" s="34"/>
      <c r="BJ43" s="34"/>
      <c r="BK43" s="34"/>
      <c r="BL43" s="34"/>
      <c r="BM43" s="34"/>
      <c r="BN43" s="34"/>
      <c r="BO43" s="34"/>
      <c r="BP43" s="34"/>
      <c r="BQ43" s="34"/>
      <c r="BR43" s="34"/>
      <c r="BS43" s="34"/>
      <c r="BT43" s="34"/>
      <c r="BU43" s="34"/>
      <c r="BV43" s="34"/>
      <c r="BW43" s="34"/>
      <c r="BX43" s="34"/>
      <c r="BY43" s="34"/>
      <c r="BZ43" s="34"/>
      <c r="CA43" s="34"/>
      <c r="CB43" s="34"/>
      <c r="CC43" s="34"/>
      <c r="CD43" s="34"/>
      <c r="CE43" s="35"/>
      <c r="CG43" s="58"/>
      <c r="CH43" s="34"/>
      <c r="CI43" s="34"/>
      <c r="CJ43" s="34"/>
      <c r="CK43" s="34"/>
      <c r="CL43" s="34"/>
      <c r="CM43" s="34"/>
      <c r="CN43" s="34"/>
      <c r="CO43" s="34"/>
      <c r="CP43" s="34"/>
      <c r="CQ43" s="34"/>
      <c r="CR43" s="34"/>
      <c r="CS43" s="34"/>
      <c r="CT43" s="34"/>
      <c r="CU43" s="34"/>
      <c r="CV43" s="34"/>
      <c r="CW43" s="34"/>
      <c r="CX43" s="34"/>
      <c r="CY43" s="34"/>
      <c r="CZ43" s="34"/>
      <c r="DA43" s="34"/>
      <c r="DB43" s="34"/>
      <c r="DC43" s="34"/>
      <c r="DD43" s="35"/>
      <c r="DF43" s="58"/>
      <c r="DG43" s="34"/>
      <c r="DH43" s="34"/>
      <c r="DI43" s="34"/>
      <c r="DJ43" s="34"/>
      <c r="DK43" s="34"/>
      <c r="DL43" s="34"/>
      <c r="DM43" s="34"/>
      <c r="DN43" s="34"/>
      <c r="DO43" s="34"/>
      <c r="DP43" s="34"/>
      <c r="DQ43" s="34"/>
      <c r="DR43" s="34"/>
      <c r="DS43" s="34"/>
      <c r="DT43" s="34"/>
      <c r="DU43" s="34"/>
      <c r="DV43" s="34"/>
      <c r="DW43" s="34"/>
      <c r="DX43" s="34"/>
      <c r="DY43" s="34"/>
      <c r="DZ43" s="34"/>
      <c r="EA43" s="34"/>
      <c r="EB43" s="34"/>
      <c r="EC43" s="35"/>
      <c r="EE43" s="58"/>
      <c r="EF43" s="34"/>
      <c r="EG43" s="34"/>
      <c r="EH43" s="34"/>
      <c r="EI43" s="34"/>
      <c r="EJ43" s="34"/>
      <c r="EK43" s="34"/>
      <c r="EL43" s="34"/>
      <c r="EM43" s="34"/>
      <c r="EN43" s="34"/>
      <c r="EO43" s="34"/>
      <c r="EP43" s="34"/>
      <c r="EQ43" s="34"/>
      <c r="ER43" s="34"/>
      <c r="ES43" s="34"/>
      <c r="ET43" s="35"/>
      <c r="KB43" s="500"/>
      <c r="KC43" s="507" t="s">
        <v>387</v>
      </c>
      <c r="KD43" s="507"/>
      <c r="KE43" s="719">
        <f>IF($KQ$43="",$KE$38*4.2%,$KE$38*$KQ$43)</f>
        <v>0</v>
      </c>
      <c r="KF43" s="719"/>
      <c r="KG43" s="719"/>
      <c r="KH43" s="719"/>
      <c r="KI43" s="496"/>
      <c r="KJ43" s="719">
        <f>IF($KV$43="",$KJ$38*2.2%,$KJ$38*$KV$43)</f>
        <v>0</v>
      </c>
      <c r="KK43" s="719"/>
      <c r="KL43" s="719"/>
      <c r="KM43" s="719"/>
      <c r="KN43" s="501"/>
      <c r="KQ43" s="720">
        <v>4.2000000000000003E-2</v>
      </c>
      <c r="KR43" s="720"/>
      <c r="KS43" s="720"/>
      <c r="KT43" s="720"/>
      <c r="KV43" s="720">
        <v>2.1999999999999999E-2</v>
      </c>
      <c r="KW43" s="720"/>
      <c r="KX43" s="720"/>
      <c r="KY43" s="720"/>
      <c r="KZ43" s="501"/>
    </row>
    <row r="44" spans="1:322" ht="15" customHeight="1" x14ac:dyDescent="0.25">
      <c r="C44" s="72"/>
      <c r="D44" s="72"/>
      <c r="E44" s="36"/>
      <c r="F44" s="342"/>
      <c r="W44" s="43"/>
      <c r="AE44" s="767" t="str">
        <f>txt_aide</f>
        <v>Aide à la validation des données :</v>
      </c>
      <c r="AF44" s="767"/>
      <c r="AG44" s="767"/>
      <c r="AH44" s="767"/>
      <c r="AI44" s="767"/>
      <c r="AJ44" s="767"/>
      <c r="AK44" s="767"/>
      <c r="AL44" s="767"/>
      <c r="AM44" s="767"/>
      <c r="AN44" s="767"/>
      <c r="AO44" s="767"/>
      <c r="AP44" s="764" t="str">
        <f>IF(OR(Q42=N.D.,AP42="",AP42=N.D.),N.D.,IF(AND(Q42=0,AP42=0),0,IF(OR(Q42=0,AP42=0),N.A.,IF(AP42&lt;Q42,(Q42-AP42)/AP42,(AP42-Q42)/Q42))))</f>
        <v>N.D.</v>
      </c>
      <c r="AQ44" s="764"/>
      <c r="AR44" s="764"/>
      <c r="AS44" s="764"/>
      <c r="AT44" s="97"/>
      <c r="AU44" s="764" t="str">
        <f>IF(OR(V42=N.D.,AU42="",AU42=N.D.),N.D.,IF(AND(V42=0,AU42=0),0,IF(OR(V42=0,AU42=0),N.A.,IF(AU42&lt;V42,(V42-AU42)/AU42,(AU42-V42)/V42))))</f>
        <v>N.D.</v>
      </c>
      <c r="AV44" s="764"/>
      <c r="AW44" s="764"/>
      <c r="AX44" s="764"/>
      <c r="AY44" s="76"/>
      <c r="AZ44" s="764" t="str">
        <f>IF(OR(AA42=N.D.,AZ42="",AZ42=N.D.),N.D.,IF(AND(AA42=0,AZ42=0),0,IF(OR(AA42=0,AZ42=0),N.A.,IF(AZ42&lt;AA42,(AA42-AZ42)/AZ42,(AZ42-AA42)/AA42))))</f>
        <v>N.D.</v>
      </c>
      <c r="BA44" s="764"/>
      <c r="BB44" s="764"/>
      <c r="BC44" s="764"/>
      <c r="BF44" s="342"/>
      <c r="KB44" s="500"/>
      <c r="KC44" s="507" t="s">
        <v>388</v>
      </c>
      <c r="KD44" s="507"/>
      <c r="KE44" s="719">
        <f>IF($KQ$44="",$KE$38*10.6%,$KE$38*$KQ$44)</f>
        <v>0</v>
      </c>
      <c r="KF44" s="719"/>
      <c r="KG44" s="719"/>
      <c r="KH44" s="719"/>
      <c r="KI44" s="496"/>
      <c r="KJ44" s="719">
        <f>IF($KV$44="",$KJ$38*8.1%,$KJ$38*$KV$44)</f>
        <v>0</v>
      </c>
      <c r="KK44" s="719"/>
      <c r="KL44" s="719"/>
      <c r="KM44" s="719"/>
      <c r="KN44" s="501"/>
      <c r="KQ44" s="720">
        <v>0.106</v>
      </c>
      <c r="KR44" s="720"/>
      <c r="KS44" s="720"/>
      <c r="KT44" s="720"/>
      <c r="KV44" s="720">
        <v>8.1000000000000003E-2</v>
      </c>
      <c r="KW44" s="720"/>
      <c r="KX44" s="720"/>
      <c r="KY44" s="720"/>
      <c r="KZ44" s="501"/>
    </row>
    <row r="45" spans="1:322" ht="15" customHeight="1" x14ac:dyDescent="0.25">
      <c r="C45" s="72"/>
      <c r="D45" s="72"/>
      <c r="E45" s="36"/>
      <c r="F45" s="342"/>
      <c r="AH45" s="115" t="str">
        <f>IF(res_utiliser_recyclables&lt;&gt;menu_outil,IF((COUNTIF(AP44,N.D.)+(COUNTIF(AU44,N.D.)))=0,"",N.D.),"")</f>
        <v>N.D.</v>
      </c>
      <c r="AI45" s="16" t="str">
        <f>puce1</f>
        <v>Ä</v>
      </c>
      <c r="AJ45" s="735" t="str">
        <f>IF(res_utiliser_recyclables=menu_outil,txt_validation,IF(I43=N.D.,IF(AZ44=N.D.,K43,""),IF(AH45=N.D.,txt_N.D.&amp;I22,"")))</f>
        <v>Non disponible : vérifiez les données à la question 2.1. ou 2.2.</v>
      </c>
      <c r="AK45" s="735"/>
      <c r="AL45" s="735"/>
      <c r="AM45" s="735"/>
      <c r="AN45" s="735"/>
      <c r="AO45" s="735"/>
      <c r="AP45" s="735"/>
      <c r="AQ45" s="735"/>
      <c r="AR45" s="735"/>
      <c r="AS45" s="735"/>
      <c r="AT45" s="735"/>
      <c r="AU45" s="735"/>
      <c r="AV45" s="735"/>
      <c r="AW45" s="735"/>
      <c r="AX45" s="735"/>
      <c r="AY45" s="735"/>
      <c r="AZ45" s="735"/>
      <c r="BA45" s="735"/>
      <c r="BB45" s="735"/>
      <c r="BC45" s="735"/>
      <c r="BF45" s="342"/>
      <c r="KB45" s="500"/>
      <c r="KC45" s="507" t="s">
        <v>386</v>
      </c>
      <c r="KD45" s="507"/>
      <c r="KE45" s="719">
        <f>IF($KQ$45="",$KE$38*17.7%,$KE$38*$KQ$45)</f>
        <v>0</v>
      </c>
      <c r="KF45" s="719"/>
      <c r="KG45" s="719"/>
      <c r="KH45" s="719"/>
      <c r="KI45" s="496"/>
      <c r="KJ45" s="719">
        <f>IF($KV$45="",$KJ$38*2.8%,$KJ$38*$KV$45)</f>
        <v>0</v>
      </c>
      <c r="KK45" s="719"/>
      <c r="KL45" s="719"/>
      <c r="KM45" s="719"/>
      <c r="KN45" s="501"/>
      <c r="KQ45" s="720">
        <v>0.17699999999999999</v>
      </c>
      <c r="KR45" s="720"/>
      <c r="KS45" s="720"/>
      <c r="KT45" s="720"/>
      <c r="KV45" s="720">
        <v>2.8000000000000001E-2</v>
      </c>
      <c r="KW45" s="720"/>
      <c r="KX45" s="720"/>
      <c r="KY45" s="720"/>
      <c r="KZ45" s="501"/>
    </row>
    <row r="46" spans="1:322" ht="15" customHeight="1" thickBot="1" x14ac:dyDescent="0.3">
      <c r="C46" s="72"/>
      <c r="D46" s="72"/>
      <c r="E46" s="36"/>
      <c r="F46" s="342"/>
      <c r="AH46" s="117" t="str">
        <f>IF(res_utiliser_recyclables&lt;&gt;menu_outil,IF((COUNTIF(AP44,N.A.)+(COUNTIF(AU44,N.A.)))=0,"",N.A.),"")</f>
        <v/>
      </c>
      <c r="AI46" s="87"/>
      <c r="AJ46" s="766" t="str">
        <f>IF(AH46=N.A.,txt_N.A.,"")</f>
        <v/>
      </c>
      <c r="AK46" s="766"/>
      <c r="AL46" s="766"/>
      <c r="AM46" s="766"/>
      <c r="AN46" s="766"/>
      <c r="AO46" s="766"/>
      <c r="AP46" s="766"/>
      <c r="AQ46" s="766"/>
      <c r="AR46" s="766"/>
      <c r="AS46" s="766"/>
      <c r="AT46" s="766"/>
      <c r="AU46" s="766"/>
      <c r="AV46" s="766"/>
      <c r="AW46" s="766"/>
      <c r="AX46" s="766"/>
      <c r="AY46" s="766"/>
      <c r="AZ46" s="766"/>
      <c r="BA46" s="766"/>
      <c r="BB46" s="766"/>
      <c r="BC46" s="766"/>
      <c r="BF46" s="342"/>
      <c r="KB46" s="504"/>
      <c r="KC46" s="505"/>
      <c r="KD46" s="505"/>
      <c r="KE46" s="505"/>
      <c r="KF46" s="505"/>
      <c r="KG46" s="505"/>
      <c r="KH46" s="505"/>
      <c r="KI46" s="505"/>
      <c r="KJ46" s="505"/>
      <c r="KK46" s="505"/>
      <c r="KL46" s="505"/>
      <c r="KM46" s="505"/>
      <c r="KN46" s="506"/>
      <c r="KO46" s="505"/>
      <c r="KP46" s="505"/>
      <c r="KQ46" s="505"/>
      <c r="KR46" s="505"/>
      <c r="KS46" s="505"/>
      <c r="KT46" s="505"/>
      <c r="KU46" s="505"/>
      <c r="KV46" s="505"/>
      <c r="KW46" s="505"/>
      <c r="KX46" s="505"/>
      <c r="KY46" s="505"/>
      <c r="KZ46" s="506"/>
    </row>
    <row r="47" spans="1:322" ht="15" customHeight="1" x14ac:dyDescent="0.25">
      <c r="D47" s="72"/>
      <c r="E47" s="36"/>
      <c r="F47" s="342"/>
      <c r="AJ47" s="766"/>
      <c r="AK47" s="766"/>
      <c r="AL47" s="766"/>
      <c r="AM47" s="766"/>
      <c r="AN47" s="766"/>
      <c r="AO47" s="766"/>
      <c r="AP47" s="766"/>
      <c r="AQ47" s="766"/>
      <c r="AR47" s="766"/>
      <c r="AS47" s="766"/>
      <c r="AT47" s="766"/>
      <c r="AU47" s="766"/>
      <c r="AV47" s="766"/>
      <c r="AW47" s="766"/>
      <c r="AX47" s="766"/>
      <c r="AY47" s="766"/>
      <c r="AZ47" s="766"/>
      <c r="BA47" s="766"/>
      <c r="BB47" s="766"/>
      <c r="BC47" s="766"/>
      <c r="BF47" s="342"/>
      <c r="KE47" s="495"/>
      <c r="KF47" s="495"/>
    </row>
    <row r="48" spans="1:322" ht="15" customHeight="1" x14ac:dyDescent="0.25">
      <c r="F48" s="342"/>
      <c r="BF48" s="342"/>
    </row>
    <row r="49" spans="1:312" ht="5.25" customHeight="1" thickBot="1" x14ac:dyDescent="0.3">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row>
    <row r="50" spans="1:312" ht="15" customHeight="1" thickBot="1" x14ac:dyDescent="0.3">
      <c r="F50" s="342"/>
      <c r="BF50" s="342"/>
      <c r="KB50" s="497"/>
      <c r="KC50" s="498"/>
      <c r="KD50" s="498"/>
      <c r="KE50" s="498"/>
      <c r="KF50" s="498"/>
      <c r="KG50" s="498"/>
      <c r="KH50" s="498"/>
      <c r="KI50" s="498"/>
      <c r="KJ50" s="498"/>
      <c r="KK50" s="498"/>
      <c r="KL50" s="498"/>
      <c r="KM50" s="498"/>
      <c r="KN50" s="499"/>
      <c r="KO50" s="497"/>
      <c r="KP50" s="498"/>
      <c r="KQ50" s="498"/>
      <c r="KR50" s="498"/>
      <c r="KS50" s="498"/>
      <c r="KT50" s="498"/>
      <c r="KU50" s="498"/>
      <c r="KV50" s="498"/>
      <c r="KW50" s="498"/>
      <c r="KX50" s="498"/>
      <c r="KY50" s="498"/>
      <c r="KZ50" s="499"/>
    </row>
    <row r="51" spans="1:312" ht="20.25" customHeight="1" thickBot="1" x14ac:dyDescent="0.3">
      <c r="C51" s="73">
        <f>C24+1</f>
        <v>3</v>
      </c>
      <c r="F51" s="342"/>
      <c r="I51" s="346" t="str">
        <f>CONCATENATE($B$2,".",$C51,".")</f>
        <v>2.3.</v>
      </c>
      <c r="J51" s="347" t="s">
        <v>544</v>
      </c>
      <c r="K51" s="174"/>
      <c r="L51" s="174"/>
      <c r="M51" s="174"/>
      <c r="N51" s="174"/>
      <c r="O51" s="174"/>
      <c r="P51" s="174"/>
      <c r="Q51" s="174"/>
      <c r="R51" s="174"/>
      <c r="S51" s="174"/>
      <c r="T51" s="174"/>
      <c r="U51" s="174"/>
      <c r="BF51" s="342"/>
      <c r="CG51" s="910" t="s">
        <v>653</v>
      </c>
      <c r="CH51" s="911"/>
      <c r="CI51" s="911"/>
      <c r="CJ51" s="912"/>
      <c r="KB51" s="500"/>
      <c r="KC51" s="940" t="s">
        <v>717</v>
      </c>
      <c r="KD51" s="940"/>
      <c r="KE51" s="940"/>
      <c r="KF51" s="940"/>
      <c r="KG51" s="940"/>
      <c r="KH51" s="940"/>
      <c r="KI51" s="940"/>
      <c r="KJ51" s="940"/>
      <c r="KK51" s="940"/>
      <c r="KL51" s="940"/>
      <c r="KM51" s="940"/>
      <c r="KN51" s="501"/>
      <c r="KO51" s="500"/>
      <c r="KZ51" s="501"/>
    </row>
    <row r="52" spans="1:312" ht="15" customHeight="1" x14ac:dyDescent="0.25">
      <c r="F52" s="342"/>
      <c r="AO52" s="898" t="s">
        <v>765</v>
      </c>
      <c r="AP52" s="899"/>
      <c r="AQ52" s="899"/>
      <c r="AR52" s="899"/>
      <c r="AS52" s="899"/>
      <c r="AT52" s="899"/>
      <c r="AU52" s="899"/>
      <c r="AV52" s="899"/>
      <c r="AW52" s="899"/>
      <c r="AX52" s="899"/>
      <c r="AY52" s="899"/>
      <c r="AZ52" s="899"/>
      <c r="BA52" s="899"/>
      <c r="BB52" s="899"/>
      <c r="BC52" s="899"/>
      <c r="BD52" s="900"/>
      <c r="BF52" s="342"/>
      <c r="BH52" s="319"/>
      <c r="BI52" s="107"/>
      <c r="BJ52" s="107"/>
      <c r="BK52" s="107"/>
      <c r="BL52" s="107"/>
      <c r="BM52" s="107"/>
      <c r="BN52" s="107"/>
      <c r="BO52" s="107"/>
      <c r="BP52" s="107"/>
      <c r="BQ52" s="107"/>
      <c r="BR52" s="107"/>
      <c r="BS52" s="107"/>
      <c r="BT52" s="107"/>
      <c r="BU52" s="107"/>
      <c r="BV52" s="107"/>
      <c r="BW52" s="107"/>
      <c r="BX52" s="107"/>
      <c r="BY52" s="107"/>
      <c r="BZ52" s="107"/>
      <c r="CA52" s="359"/>
      <c r="CB52" s="359"/>
      <c r="CC52" s="107"/>
      <c r="CD52" s="320"/>
      <c r="CG52" s="918" t="s">
        <v>654</v>
      </c>
      <c r="CH52" s="721"/>
      <c r="CI52" s="721"/>
      <c r="CJ52" s="919"/>
      <c r="CL52" s="319"/>
      <c r="CM52" s="107"/>
      <c r="CN52" s="107"/>
      <c r="CO52" s="107"/>
      <c r="CP52" s="107"/>
      <c r="CQ52" s="320"/>
      <c r="KB52" s="500"/>
      <c r="KC52" s="940"/>
      <c r="KD52" s="940"/>
      <c r="KE52" s="940"/>
      <c r="KF52" s="940"/>
      <c r="KG52" s="940"/>
      <c r="KH52" s="940"/>
      <c r="KI52" s="940"/>
      <c r="KJ52" s="940"/>
      <c r="KK52" s="940"/>
      <c r="KL52" s="940"/>
      <c r="KM52" s="940"/>
      <c r="KN52" s="501"/>
      <c r="KO52" s="500"/>
      <c r="KZ52" s="501"/>
    </row>
    <row r="53" spans="1:312" ht="15" customHeight="1" thickBot="1" x14ac:dyDescent="0.3">
      <c r="C53" s="73" t="str">
        <f>C51&amp;".1"</f>
        <v>3.1</v>
      </c>
      <c r="D53" s="73"/>
      <c r="E53" s="21"/>
      <c r="F53" s="342"/>
      <c r="G53" s="19"/>
      <c r="H53" s="19"/>
      <c r="I53" s="19"/>
      <c r="J53" s="77" t="str">
        <f>CONCATENATE($B$2,".",$C53,".")</f>
        <v>2.3.1.</v>
      </c>
      <c r="K53" s="733" t="s">
        <v>650</v>
      </c>
      <c r="L53" s="733"/>
      <c r="M53" s="733"/>
      <c r="N53" s="733"/>
      <c r="O53" s="733"/>
      <c r="P53" s="733"/>
      <c r="Q53" s="733"/>
      <c r="R53" s="733"/>
      <c r="S53" s="733"/>
      <c r="T53" s="733"/>
      <c r="U53" s="733"/>
      <c r="V53" s="733"/>
      <c r="W53" s="733"/>
      <c r="X53" s="733"/>
      <c r="Y53" s="733"/>
      <c r="Z53" s="733"/>
      <c r="AA53" s="733"/>
      <c r="AB53" s="733"/>
      <c r="AO53" s="901"/>
      <c r="AP53" s="902"/>
      <c r="AQ53" s="902"/>
      <c r="AR53" s="902"/>
      <c r="AS53" s="902"/>
      <c r="AT53" s="902"/>
      <c r="AU53" s="902"/>
      <c r="AV53" s="902"/>
      <c r="AW53" s="902"/>
      <c r="AX53" s="902"/>
      <c r="AY53" s="902"/>
      <c r="AZ53" s="902"/>
      <c r="BA53" s="902"/>
      <c r="BB53" s="902"/>
      <c r="BC53" s="902"/>
      <c r="BD53" s="903"/>
      <c r="BF53" s="342"/>
      <c r="BH53" s="328"/>
      <c r="BI53" s="896" t="s">
        <v>652</v>
      </c>
      <c r="BJ53" s="896"/>
      <c r="BK53" s="896"/>
      <c r="BL53" s="896"/>
      <c r="BM53" s="896"/>
      <c r="BN53" s="896"/>
      <c r="BO53" s="896"/>
      <c r="BP53" s="896"/>
      <c r="BQ53" s="896"/>
      <c r="BR53" s="896"/>
      <c r="BS53" s="896"/>
      <c r="BT53" s="896"/>
      <c r="BU53" s="896"/>
      <c r="BV53" s="896"/>
      <c r="BW53" s="896"/>
      <c r="BX53" s="896"/>
      <c r="BY53" s="896"/>
      <c r="BZ53" s="896"/>
      <c r="CA53" s="896"/>
      <c r="CB53" s="896"/>
      <c r="CC53" s="896"/>
      <c r="CD53" s="329"/>
      <c r="CG53" s="913">
        <f>IF(T69="Oui",IF(AND(AI72="oui",AI71="oui",V70="oui"),Paramètres!S49,IF(AND(AI71="oui",V70="oui"),Paramètres!S48,IF(V70="oui",Paramètres!S47,0))),0)</f>
        <v>0</v>
      </c>
      <c r="CH53" s="914"/>
      <c r="CI53" s="914"/>
      <c r="CJ53" s="915"/>
      <c r="CL53" s="365"/>
      <c r="CM53" s="19"/>
      <c r="CN53" s="19"/>
      <c r="CO53" s="19"/>
      <c r="CP53" s="19"/>
      <c r="CQ53" s="366"/>
      <c r="KB53" s="500"/>
      <c r="KH53" s="721" t="s">
        <v>285</v>
      </c>
      <c r="KI53" s="721"/>
      <c r="KJ53" s="721"/>
      <c r="KK53" s="721"/>
      <c r="KN53" s="501"/>
      <c r="KO53" s="500"/>
      <c r="KR53" s="515"/>
      <c r="KS53" s="515"/>
      <c r="KT53" s="515"/>
      <c r="KU53" s="515"/>
      <c r="KV53" s="515"/>
      <c r="KW53" s="515"/>
      <c r="KX53" s="515"/>
      <c r="KY53" s="515"/>
      <c r="KZ53" s="501"/>
    </row>
    <row r="54" spans="1:312" ht="15" customHeight="1" x14ac:dyDescent="0.25">
      <c r="F54" s="342"/>
      <c r="AG54" s="865" t="s">
        <v>666</v>
      </c>
      <c r="AH54" s="865"/>
      <c r="AI54" s="865"/>
      <c r="AJ54" s="865"/>
      <c r="AK54" s="865"/>
      <c r="AL54" s="865"/>
      <c r="AO54" s="901"/>
      <c r="AP54" s="902"/>
      <c r="AQ54" s="902"/>
      <c r="AR54" s="902"/>
      <c r="AS54" s="902"/>
      <c r="AT54" s="902"/>
      <c r="AU54" s="902"/>
      <c r="AV54" s="902"/>
      <c r="AW54" s="902"/>
      <c r="AX54" s="902"/>
      <c r="AY54" s="902"/>
      <c r="AZ54" s="902"/>
      <c r="BA54" s="902"/>
      <c r="BB54" s="902"/>
      <c r="BC54" s="902"/>
      <c r="BD54" s="903"/>
      <c r="BF54" s="342"/>
      <c r="BH54" s="328"/>
      <c r="BI54" s="896" t="s">
        <v>655</v>
      </c>
      <c r="BJ54" s="896"/>
      <c r="BK54" s="896"/>
      <c r="BL54" s="896"/>
      <c r="BM54" s="896"/>
      <c r="BN54" s="896"/>
      <c r="BO54" s="896"/>
      <c r="BP54" s="896"/>
      <c r="BQ54" s="896"/>
      <c r="BR54" s="896"/>
      <c r="BS54" s="896"/>
      <c r="BT54" s="896"/>
      <c r="BU54" s="896"/>
      <c r="BV54" s="896"/>
      <c r="BW54" s="896"/>
      <c r="BX54" s="896"/>
      <c r="BY54" s="896"/>
      <c r="BZ54" s="896"/>
      <c r="CA54" s="896"/>
      <c r="CB54" s="896"/>
      <c r="CC54" s="896"/>
      <c r="CD54" s="329"/>
      <c r="CL54" s="328"/>
      <c r="CM54" s="710" t="s">
        <v>10</v>
      </c>
      <c r="CN54" s="715"/>
      <c r="CO54" s="715"/>
      <c r="CP54" s="715"/>
      <c r="CQ54" s="329"/>
      <c r="KB54" s="500" t="s">
        <v>712</v>
      </c>
      <c r="KC54" s="939" t="s">
        <v>716</v>
      </c>
      <c r="KD54" s="939"/>
      <c r="KH54" s="722"/>
      <c r="KI54" s="722"/>
      <c r="KJ54" s="722"/>
      <c r="KK54" s="722"/>
      <c r="KN54" s="501"/>
      <c r="KO54" s="500"/>
      <c r="KQ54" s="723" t="s">
        <v>715</v>
      </c>
      <c r="KR54" s="723"/>
      <c r="KS54" s="723"/>
      <c r="KT54" s="723"/>
      <c r="KU54" s="723"/>
      <c r="KV54" s="723"/>
      <c r="KW54" s="723"/>
      <c r="KX54" s="723"/>
      <c r="KY54" s="723"/>
      <c r="KZ54" s="501"/>
    </row>
    <row r="55" spans="1:312" ht="34.5" customHeight="1" x14ac:dyDescent="0.25">
      <c r="A55" s="335"/>
      <c r="B55" s="336"/>
      <c r="C55" s="336"/>
      <c r="D55" s="336"/>
      <c r="F55" s="342"/>
      <c r="I55" s="26"/>
      <c r="Q55" s="866" t="s">
        <v>610</v>
      </c>
      <c r="R55" s="715"/>
      <c r="S55" s="715"/>
      <c r="T55" s="715"/>
      <c r="V55" s="710" t="s">
        <v>612</v>
      </c>
      <c r="W55" s="715"/>
      <c r="X55" s="715"/>
      <c r="Y55" s="715"/>
      <c r="AA55" s="888" t="s">
        <v>651</v>
      </c>
      <c r="AB55" s="889"/>
      <c r="AC55" s="889"/>
      <c r="AD55" s="889"/>
      <c r="AG55" s="865"/>
      <c r="AH55" s="865"/>
      <c r="AI55" s="865"/>
      <c r="AJ55" s="865"/>
      <c r="AK55" s="865"/>
      <c r="AL55" s="865"/>
      <c r="AO55" s="901"/>
      <c r="AP55" s="902"/>
      <c r="AQ55" s="902"/>
      <c r="AR55" s="902"/>
      <c r="AS55" s="902"/>
      <c r="AT55" s="902"/>
      <c r="AU55" s="902"/>
      <c r="AV55" s="902"/>
      <c r="AW55" s="902"/>
      <c r="AX55" s="902"/>
      <c r="AY55" s="902"/>
      <c r="AZ55" s="902"/>
      <c r="BA55" s="902"/>
      <c r="BB55" s="902"/>
      <c r="BC55" s="902"/>
      <c r="BD55" s="903"/>
      <c r="BF55" s="342"/>
      <c r="BH55" s="328"/>
      <c r="BI55" s="325"/>
      <c r="BJ55" s="326"/>
      <c r="BK55" s="326"/>
      <c r="BL55" s="326"/>
      <c r="BM55" s="326"/>
      <c r="BN55" s="326"/>
      <c r="BO55" s="326"/>
      <c r="BP55" s="326"/>
      <c r="BQ55" s="699" t="str">
        <f>Q55</f>
        <v>Récupéré (t)</v>
      </c>
      <c r="BR55" s="699"/>
      <c r="BS55" s="699"/>
      <c r="BT55" s="699"/>
      <c r="BU55" s="326"/>
      <c r="BV55" s="699" t="s">
        <v>611</v>
      </c>
      <c r="BW55" s="699"/>
      <c r="BX55" s="699"/>
      <c r="BY55" s="699"/>
      <c r="BZ55" s="327"/>
      <c r="CA55" s="698" t="str">
        <f>V55</f>
        <v>Généré (t)</v>
      </c>
      <c r="CB55" s="699"/>
      <c r="CC55" s="699"/>
      <c r="CD55" s="700"/>
      <c r="CG55" s="916" t="s">
        <v>663</v>
      </c>
      <c r="CH55" s="916"/>
      <c r="CI55" s="916"/>
      <c r="CJ55" s="916"/>
      <c r="CL55" s="328"/>
      <c r="CM55" s="894" t="s">
        <v>720</v>
      </c>
      <c r="CN55" s="894"/>
      <c r="CO55" s="894"/>
      <c r="CP55" s="894"/>
      <c r="CQ55" s="895"/>
      <c r="CS55" s="280" t="s">
        <v>662</v>
      </c>
      <c r="KB55" s="500" t="s">
        <v>713</v>
      </c>
      <c r="KC55" s="280" t="s">
        <v>695</v>
      </c>
      <c r="KN55" s="501"/>
      <c r="KO55" s="500"/>
      <c r="KQ55" s="723"/>
      <c r="KR55" s="723"/>
      <c r="KS55" s="723"/>
      <c r="KT55" s="723"/>
      <c r="KU55" s="723"/>
      <c r="KV55" s="723"/>
      <c r="KW55" s="723"/>
      <c r="KX55" s="723"/>
      <c r="KY55" s="723"/>
      <c r="KZ55" s="501"/>
    </row>
    <row r="56" spans="1:312" ht="15" customHeight="1" thickBot="1" x14ac:dyDescent="0.3">
      <c r="A56" s="335"/>
      <c r="B56" s="336"/>
      <c r="C56" s="336"/>
      <c r="D56" s="336"/>
      <c r="F56" s="342"/>
      <c r="I56" s="908" t="s">
        <v>719</v>
      </c>
      <c r="J56" s="908"/>
      <c r="K56" s="908"/>
      <c r="L56" s="908"/>
      <c r="M56" s="908"/>
      <c r="N56" s="908"/>
      <c r="O56" s="908"/>
      <c r="P56" s="908"/>
      <c r="Q56" s="722"/>
      <c r="R56" s="722"/>
      <c r="S56" s="722"/>
      <c r="T56" s="722"/>
      <c r="U56" s="62"/>
      <c r="V56" s="722"/>
      <c r="W56" s="722"/>
      <c r="X56" s="722"/>
      <c r="Y56" s="722"/>
      <c r="Z56" s="62"/>
      <c r="AA56" s="897" t="s">
        <v>577</v>
      </c>
      <c r="AB56" s="702"/>
      <c r="AC56" s="702"/>
      <c r="AD56" s="702"/>
      <c r="AH56" s="907" t="s">
        <v>577</v>
      </c>
      <c r="AI56" s="765"/>
      <c r="AJ56" s="765"/>
      <c r="AK56" s="765"/>
      <c r="AM56" s="580"/>
      <c r="AN56" s="580"/>
      <c r="AO56" s="904"/>
      <c r="AP56" s="905"/>
      <c r="AQ56" s="905"/>
      <c r="AR56" s="905"/>
      <c r="AS56" s="905"/>
      <c r="AT56" s="905"/>
      <c r="AU56" s="905"/>
      <c r="AV56" s="905"/>
      <c r="AW56" s="905"/>
      <c r="AX56" s="905"/>
      <c r="AY56" s="905"/>
      <c r="AZ56" s="905"/>
      <c r="BA56" s="905"/>
      <c r="BB56" s="905"/>
      <c r="BC56" s="905"/>
      <c r="BD56" s="906"/>
      <c r="BF56" s="342"/>
      <c r="BH56" s="368"/>
      <c r="BI56" s="729" t="str">
        <f>I56</f>
        <v>Branches et sapins de Noël</v>
      </c>
      <c r="BJ56" s="729"/>
      <c r="BK56" s="729"/>
      <c r="BL56" s="729"/>
      <c r="BM56" s="729"/>
      <c r="BN56" s="729"/>
      <c r="BO56" s="729"/>
      <c r="BP56" s="729"/>
      <c r="BQ56" s="702" t="str">
        <f>IF(Q56="","",Q56)</f>
        <v/>
      </c>
      <c r="BR56" s="702"/>
      <c r="BS56" s="702"/>
      <c r="BT56" s="702"/>
      <c r="BU56" s="348"/>
      <c r="BV56" s="702" t="str">
        <f>IF(AND(Q56="",V56=""),"",IF(OR(Q56="",V56=""),N.D.,V56-Q56))</f>
        <v/>
      </c>
      <c r="BW56" s="702"/>
      <c r="BX56" s="702"/>
      <c r="BY56" s="702"/>
      <c r="BZ56" s="369"/>
      <c r="CA56" s="921" t="str">
        <f>IF(V56="","",V56)</f>
        <v/>
      </c>
      <c r="CB56" s="702"/>
      <c r="CC56" s="702"/>
      <c r="CD56" s="922"/>
      <c r="CL56" s="328"/>
      <c r="CQ56" s="329"/>
      <c r="CS56" s="370" t="str">
        <f>IF(BV56&lt;0,"La quantité de branches récupérée est plus élevée que celle générée. ","")</f>
        <v/>
      </c>
      <c r="CT56" s="31"/>
      <c r="CU56" s="31"/>
      <c r="CV56" s="31"/>
      <c r="CW56" s="31"/>
      <c r="CX56" s="371"/>
      <c r="KB56" s="500"/>
      <c r="KH56" s="721" t="s">
        <v>285</v>
      </c>
      <c r="KI56" s="721"/>
      <c r="KJ56" s="721"/>
      <c r="KK56" s="721"/>
      <c r="KN56" s="501"/>
      <c r="KO56" s="500"/>
      <c r="KQ56" s="723"/>
      <c r="KR56" s="723"/>
      <c r="KS56" s="723"/>
      <c r="KT56" s="723"/>
      <c r="KU56" s="723"/>
      <c r="KV56" s="723"/>
      <c r="KW56" s="723"/>
      <c r="KX56" s="723"/>
      <c r="KY56" s="723"/>
      <c r="KZ56" s="501"/>
    </row>
    <row r="57" spans="1:312" ht="15" customHeight="1" x14ac:dyDescent="0.25">
      <c r="A57" s="335"/>
      <c r="B57" s="336"/>
      <c r="C57" s="336"/>
      <c r="D57" s="336"/>
      <c r="F57" s="342"/>
      <c r="I57" s="701" t="s">
        <v>417</v>
      </c>
      <c r="J57" s="701"/>
      <c r="K57" s="701"/>
      <c r="L57" s="701"/>
      <c r="M57" s="701"/>
      <c r="N57" s="701"/>
      <c r="O57" s="701"/>
      <c r="P57" s="701"/>
      <c r="Q57" s="722"/>
      <c r="R57" s="722"/>
      <c r="S57" s="722"/>
      <c r="T57" s="722"/>
      <c r="U57" s="62"/>
      <c r="V57" s="722"/>
      <c r="W57" s="722"/>
      <c r="X57" s="722"/>
      <c r="Y57" s="722"/>
      <c r="Z57" s="62"/>
      <c r="AA57" s="702" t="str">
        <f>IF(OR($Z$8="",$Z$9="",$Z$10="",$Z$15="",$Z$16="",$Z$17="",$Z$11="",$Z$12="",$Z$18=""),N.D.,(res_UO_uni_r*Paramètres!R34/1000)+(res_UO_uni*Paramètres!S34/1000)+(res_UO_plex*Paramètres!T34/1000)+(res_UO_multi*Paramètres!U34/1000))</f>
        <v>N.D.</v>
      </c>
      <c r="AB57" s="702"/>
      <c r="AC57" s="702"/>
      <c r="AD57" s="702"/>
      <c r="AH57" s="764" t="str">
        <f>IF(OR($Z$8="",$Z$9="",$Z$10="",$Z$15="",$Z$16="",$Z$17="",$Z$11="",V57=0),N.D.,IF(AND(Q57="",V57=""),"",IF(AA57&lt;V57,(V57-AA57)/AA57,(AA57-V57)/V57)))</f>
        <v>N.D.</v>
      </c>
      <c r="AI57" s="764"/>
      <c r="AJ57" s="764"/>
      <c r="AK57" s="764"/>
      <c r="AM57" s="580"/>
      <c r="AN57" s="580"/>
      <c r="AO57" s="580"/>
      <c r="AP57" s="580"/>
      <c r="AQ57" s="580"/>
      <c r="AR57" s="580"/>
      <c r="AS57" s="580"/>
      <c r="AT57" s="580"/>
      <c r="AU57" s="580"/>
      <c r="AV57" s="580"/>
      <c r="AW57" s="580"/>
      <c r="AX57" s="580"/>
      <c r="AY57" s="580"/>
      <c r="AZ57" s="580"/>
      <c r="BA57" s="580"/>
      <c r="BB57" s="580"/>
      <c r="BC57" s="580"/>
      <c r="BD57" s="580"/>
      <c r="BF57" s="342"/>
      <c r="BH57" s="368"/>
      <c r="BI57" s="701" t="str">
        <f>I57</f>
        <v>Résidus verts</v>
      </c>
      <c r="BJ57" s="701"/>
      <c r="BK57" s="701"/>
      <c r="BL57" s="701"/>
      <c r="BM57" s="701"/>
      <c r="BN57" s="701"/>
      <c r="BO57" s="701"/>
      <c r="BP57" s="701"/>
      <c r="BQ57" s="742" t="str">
        <f>IF(Q57="","",IF(CG57=N.D.,N.D.,Q57+CG57))</f>
        <v/>
      </c>
      <c r="BR57" s="742"/>
      <c r="BS57" s="742"/>
      <c r="BT57" s="742"/>
      <c r="BU57" s="348"/>
      <c r="BV57" s="742" t="str">
        <f>IF(AND(Q57="",V57=""),"",IF(OR(Q57="",V57=""),N.A.,CA57-BQ57))</f>
        <v/>
      </c>
      <c r="BW57" s="742"/>
      <c r="BX57" s="742"/>
      <c r="BY57" s="742"/>
      <c r="BZ57" s="369"/>
      <c r="CA57" s="704" t="str">
        <f>IF(V57="","",V57)</f>
        <v/>
      </c>
      <c r="CB57" s="705"/>
      <c r="CC57" s="705"/>
      <c r="CD57" s="706"/>
      <c r="CG57" s="920" t="str">
        <f>IF(V57="",IF($AA$57=N.D.,N.D.,$AA$57*$CG$53),($V$57*$CG$53))</f>
        <v>N.D.</v>
      </c>
      <c r="CH57" s="742"/>
      <c r="CI57" s="742"/>
      <c r="CJ57" s="742"/>
      <c r="CL57" s="328"/>
      <c r="CM57" s="741" t="str">
        <f>IF(Q57="","",Q57*$BI$75)</f>
        <v/>
      </c>
      <c r="CN57" s="742"/>
      <c r="CO57" s="742"/>
      <c r="CP57" s="742"/>
      <c r="CQ57" s="329"/>
      <c r="CS57" s="370" t="str">
        <f>IF(BV57&lt;0,IF(T69="oui","Avec le programme d'herbicyclage en place, la quantité de résidus verts récupérée est plus élevée que celle générée. ","La quantité de résidus verts récupérée est plus élevée que celle générée. "),"")</f>
        <v/>
      </c>
      <c r="CT57" s="31"/>
      <c r="CU57" s="31"/>
      <c r="CV57" s="31"/>
      <c r="CW57" s="31"/>
      <c r="CX57" s="371"/>
      <c r="KB57" s="500"/>
      <c r="KC57" s="939" t="s">
        <v>417</v>
      </c>
      <c r="KD57" s="939"/>
      <c r="KH57" s="719">
        <f>IF(KS57="",$KH$54*78.3%,$KH$54*KS57)</f>
        <v>0</v>
      </c>
      <c r="KI57" s="719"/>
      <c r="KJ57" s="719"/>
      <c r="KK57" s="719"/>
      <c r="KN57" s="501"/>
      <c r="KO57" s="500"/>
      <c r="KS57" s="720">
        <v>0.71</v>
      </c>
      <c r="KT57" s="720"/>
      <c r="KU57" s="720"/>
      <c r="KV57" s="720"/>
      <c r="KZ57" s="501"/>
    </row>
    <row r="58" spans="1:312" ht="15" customHeight="1" x14ac:dyDescent="0.25">
      <c r="A58" s="335"/>
      <c r="B58" s="336"/>
      <c r="C58" s="336"/>
      <c r="D58" s="336"/>
      <c r="F58" s="342"/>
      <c r="I58" s="691" t="s">
        <v>418</v>
      </c>
      <c r="J58" s="691"/>
      <c r="K58" s="691"/>
      <c r="L58" s="691"/>
      <c r="M58" s="691"/>
      <c r="N58" s="691"/>
      <c r="O58" s="691"/>
      <c r="P58" s="691"/>
      <c r="Q58" s="722"/>
      <c r="R58" s="722"/>
      <c r="S58" s="722"/>
      <c r="T58" s="722"/>
      <c r="U58" s="62"/>
      <c r="V58" s="722"/>
      <c r="W58" s="722"/>
      <c r="X58" s="722"/>
      <c r="Y58" s="722"/>
      <c r="Z58" s="62"/>
      <c r="AA58" s="702" t="str">
        <f>IF(OR($Z$8="",$Z$9="",$Z$10="",$Z$15="",$Z$16="",$Z$17="",$Z$11="",$Z$12="",$Z$18=""),N.D.,(res_UO_uni_r*Paramètres!R35/1000)+(res_UO_uni*Paramètres!S35/1000)+(res_UO_plex*Paramètres!T35/1000)+(res_UO_multi*Paramètres!U35/1000))</f>
        <v>N.D.</v>
      </c>
      <c r="AB58" s="702"/>
      <c r="AC58" s="702"/>
      <c r="AD58" s="702"/>
      <c r="AH58" s="764" t="str">
        <f>IF(OR($Z$8="",$Z$9="",$Z$10="",$Z$15="",$Z$16="",$Z$17="",$Z$11="",V58=0),N.D.,IF(AND(Q58="",V58=""),"",IF(AA58&lt;V58,(V58-AA58)/AA58,(AA58-V58)/V58)))</f>
        <v>N.D.</v>
      </c>
      <c r="AI58" s="764"/>
      <c r="AJ58" s="764"/>
      <c r="AK58" s="764"/>
      <c r="AM58" s="580"/>
      <c r="AN58" s="580"/>
      <c r="AO58" s="937" t="str">
        <f>IF(COUNTBLANK($CS$56:$CS$59)&lt;4,"Attention : "&amp;CS56&amp;CS57&amp;CS58&amp;CS59&amp;"Veuillez vérifier vos réponses.","")</f>
        <v/>
      </c>
      <c r="AP58" s="937"/>
      <c r="AQ58" s="937"/>
      <c r="AR58" s="937"/>
      <c r="AS58" s="937"/>
      <c r="AT58" s="937"/>
      <c r="AU58" s="937"/>
      <c r="AV58" s="937"/>
      <c r="AW58" s="937"/>
      <c r="AX58" s="937"/>
      <c r="AY58" s="937"/>
      <c r="AZ58" s="937"/>
      <c r="BA58" s="937"/>
      <c r="BB58" s="937"/>
      <c r="BC58" s="937"/>
      <c r="BD58" s="937"/>
      <c r="BF58" s="342"/>
      <c r="BH58" s="368"/>
      <c r="BI58" s="691" t="str">
        <f>I58</f>
        <v>Résidus alimentaires</v>
      </c>
      <c r="BJ58" s="691"/>
      <c r="BK58" s="691"/>
      <c r="BL58" s="691"/>
      <c r="BM58" s="691"/>
      <c r="BN58" s="691"/>
      <c r="BO58" s="691"/>
      <c r="BP58" s="691"/>
      <c r="BQ58" s="742" t="str">
        <f>IF(Q58="","",Q58+CG58)</f>
        <v/>
      </c>
      <c r="BR58" s="742"/>
      <c r="BS58" s="742"/>
      <c r="BT58" s="742"/>
      <c r="BU58" s="348"/>
      <c r="BV58" s="742" t="str">
        <f>IF(AND(Q58="",V58=""),"",IF(OR(Q58="",V58=""),N.A.,CA58-BQ58))</f>
        <v/>
      </c>
      <c r="BW58" s="742"/>
      <c r="BX58" s="742"/>
      <c r="BY58" s="742"/>
      <c r="BZ58" s="369"/>
      <c r="CA58" s="704" t="str">
        <f>IF(V58="","",V58)</f>
        <v/>
      </c>
      <c r="CB58" s="705"/>
      <c r="CC58" s="705"/>
      <c r="CD58" s="706"/>
      <c r="CG58" s="742">
        <f>($AA$67*Paramètres!$Q$42/1000)</f>
        <v>0</v>
      </c>
      <c r="CH58" s="742"/>
      <c r="CI58" s="742"/>
      <c r="CJ58" s="742"/>
      <c r="CL58" s="328"/>
      <c r="CM58" s="741" t="str">
        <f>IF(Q58="","",Q58*$BI$75)</f>
        <v/>
      </c>
      <c r="CN58" s="742"/>
      <c r="CO58" s="742"/>
      <c r="CP58" s="742"/>
      <c r="CQ58" s="329"/>
      <c r="CS58" s="370" t="str">
        <f>IF(BV58&lt;0,IF(T66="oui","Avec le nombre de composteurs présents dans le territoire, la quantité de résidus alimentaires récupérée est plus élevée que celle générée. ","La quantité de résidus alimentaires récupérée est plus élevée que celle générée. "),"")</f>
        <v/>
      </c>
      <c r="CT58" s="31"/>
      <c r="CU58" s="31"/>
      <c r="CV58" s="31"/>
      <c r="CW58" s="31"/>
      <c r="CX58" s="371"/>
      <c r="KB58" s="500"/>
      <c r="KC58" s="939" t="s">
        <v>418</v>
      </c>
      <c r="KD58" s="939"/>
      <c r="KH58" s="719">
        <f>IF(KS58="",$KH$54*16.8%,$KH$54*KS58)</f>
        <v>0</v>
      </c>
      <c r="KI58" s="719"/>
      <c r="KJ58" s="719"/>
      <c r="KK58" s="719"/>
      <c r="KN58" s="501"/>
      <c r="KO58" s="500"/>
      <c r="KS58" s="720">
        <v>0.16</v>
      </c>
      <c r="KT58" s="720"/>
      <c r="KU58" s="720"/>
      <c r="KV58" s="720"/>
      <c r="KZ58" s="501"/>
    </row>
    <row r="59" spans="1:312" ht="15" customHeight="1" x14ac:dyDescent="0.25">
      <c r="A59" s="335"/>
      <c r="B59" s="336"/>
      <c r="C59" s="336"/>
      <c r="D59" s="336"/>
      <c r="F59" s="342"/>
      <c r="I59" s="691" t="s">
        <v>419</v>
      </c>
      <c r="J59" s="691"/>
      <c r="K59" s="691"/>
      <c r="L59" s="691"/>
      <c r="M59" s="691"/>
      <c r="N59" s="691"/>
      <c r="O59" s="691"/>
      <c r="P59" s="691"/>
      <c r="Q59" s="722"/>
      <c r="R59" s="722"/>
      <c r="S59" s="722"/>
      <c r="T59" s="722"/>
      <c r="U59" s="62"/>
      <c r="V59" s="722"/>
      <c r="W59" s="722"/>
      <c r="X59" s="722"/>
      <c r="Y59" s="722"/>
      <c r="Z59" s="62"/>
      <c r="AA59" s="702" t="str">
        <f>IF(OR($Z$8="",$Z$9="",$Z$10="",$Z$15="",$Z$16="",$Z$17="",$Z$11="",$Z$12="",$Z$18=""),N.D.,(res_UO_uni_r*Paramètres!R36/1000)+(res_UO_uni*Paramètres!S36/1000)+(res_UO_plex*Paramètres!T36/1000)+(res_UO_multi*Paramètres!U36/1000))</f>
        <v>N.D.</v>
      </c>
      <c r="AB59" s="702"/>
      <c r="AC59" s="702"/>
      <c r="AD59" s="702"/>
      <c r="AH59" s="764" t="str">
        <f>IF(OR($Z$8="",$Z$9="",$Z$10="",$Z$15="",$Z$16="",$Z$17="",$Z$11="",V59=0),N.D.,IF(AND(Q59="",V59=""),"",IF(AA59&lt;V59,(V59-AA59)/AA59,(AA59-V59)/V59)))</f>
        <v>N.D.</v>
      </c>
      <c r="AI59" s="764"/>
      <c r="AJ59" s="764"/>
      <c r="AK59" s="764"/>
      <c r="AM59" s="580"/>
      <c r="AN59" s="580"/>
      <c r="AO59" s="937"/>
      <c r="AP59" s="937"/>
      <c r="AQ59" s="937"/>
      <c r="AR59" s="937"/>
      <c r="AS59" s="937"/>
      <c r="AT59" s="937"/>
      <c r="AU59" s="937"/>
      <c r="AV59" s="937"/>
      <c r="AW59" s="937"/>
      <c r="AX59" s="937"/>
      <c r="AY59" s="937"/>
      <c r="AZ59" s="937"/>
      <c r="BA59" s="937"/>
      <c r="BB59" s="937"/>
      <c r="BC59" s="937"/>
      <c r="BD59" s="937"/>
      <c r="BF59" s="342"/>
      <c r="BH59" s="368"/>
      <c r="BI59" s="691" t="str">
        <f>I59</f>
        <v>Autres résidus organiques</v>
      </c>
      <c r="BJ59" s="691"/>
      <c r="BK59" s="691"/>
      <c r="BL59" s="691"/>
      <c r="BM59" s="691"/>
      <c r="BN59" s="691"/>
      <c r="BO59" s="691"/>
      <c r="BP59" s="691"/>
      <c r="BQ59" s="742" t="str">
        <f>IF(Q59="","",Q59)</f>
        <v/>
      </c>
      <c r="BR59" s="742"/>
      <c r="BS59" s="742"/>
      <c r="BT59" s="742"/>
      <c r="BU59" s="348"/>
      <c r="BV59" s="742" t="str">
        <f>IF(AND(Q59="",V59=""),"",IF(OR(Q59="",V59=""),N.A.,CA59-BQ59))</f>
        <v/>
      </c>
      <c r="BW59" s="742"/>
      <c r="BX59" s="742"/>
      <c r="BY59" s="742"/>
      <c r="BZ59" s="369"/>
      <c r="CA59" s="704" t="str">
        <f>IF(V59="","",V59)</f>
        <v/>
      </c>
      <c r="CB59" s="705"/>
      <c r="CC59" s="705"/>
      <c r="CD59" s="706"/>
      <c r="CL59" s="328"/>
      <c r="CM59" s="741" t="str">
        <f>IF(Q59="","",Q59*$BI$75)</f>
        <v/>
      </c>
      <c r="CN59" s="742"/>
      <c r="CO59" s="742"/>
      <c r="CP59" s="742"/>
      <c r="CQ59" s="329"/>
      <c r="CS59" s="370" t="str">
        <f>IF(BV61&lt;0,"La quantité totale récupérée est plus élevée que celle générée. ","")</f>
        <v/>
      </c>
      <c r="CT59" s="31"/>
      <c r="CU59" s="31"/>
      <c r="CV59" s="31"/>
      <c r="CW59" s="31"/>
      <c r="CX59" s="371"/>
      <c r="KB59" s="500"/>
      <c r="KC59" s="939" t="s">
        <v>419</v>
      </c>
      <c r="KD59" s="939"/>
      <c r="KH59" s="719">
        <f>IF(KS59="",$KH$54*4.9%,$KH$54*KS59)</f>
        <v>0</v>
      </c>
      <c r="KI59" s="719"/>
      <c r="KJ59" s="719"/>
      <c r="KK59" s="719"/>
      <c r="KN59" s="501"/>
      <c r="KO59" s="500"/>
      <c r="KS59" s="720">
        <v>0.13</v>
      </c>
      <c r="KT59" s="720"/>
      <c r="KU59" s="720"/>
      <c r="KV59" s="720"/>
      <c r="KZ59" s="501"/>
    </row>
    <row r="60" spans="1:312" ht="15" customHeight="1" thickBot="1" x14ac:dyDescent="0.3">
      <c r="A60" s="335"/>
      <c r="B60" s="336"/>
      <c r="C60" s="336"/>
      <c r="D60" s="336"/>
      <c r="F60" s="342"/>
      <c r="Q60" s="63"/>
      <c r="R60" s="63"/>
      <c r="S60" s="63"/>
      <c r="T60" s="63"/>
      <c r="U60" s="63"/>
      <c r="V60" s="63"/>
      <c r="W60" s="63"/>
      <c r="X60" s="63"/>
      <c r="Y60" s="63"/>
      <c r="Z60" s="63"/>
      <c r="AA60" s="63"/>
      <c r="AB60" s="63"/>
      <c r="AC60" s="63"/>
      <c r="AD60" s="63"/>
      <c r="AM60" s="580"/>
      <c r="AN60" s="580"/>
      <c r="AO60" s="937"/>
      <c r="AP60" s="937"/>
      <c r="AQ60" s="937"/>
      <c r="AR60" s="937"/>
      <c r="AS60" s="937"/>
      <c r="AT60" s="937"/>
      <c r="AU60" s="937"/>
      <c r="AV60" s="937"/>
      <c r="AW60" s="937"/>
      <c r="AX60" s="937"/>
      <c r="AY60" s="937"/>
      <c r="AZ60" s="937"/>
      <c r="BA60" s="937"/>
      <c r="BB60" s="937"/>
      <c r="BC60" s="937"/>
      <c r="BD60" s="937"/>
      <c r="BF60" s="342"/>
      <c r="BH60" s="372"/>
      <c r="BI60" s="373"/>
      <c r="BJ60" s="373"/>
      <c r="BK60" s="373"/>
      <c r="BL60" s="373"/>
      <c r="BM60" s="373"/>
      <c r="BN60" s="373"/>
      <c r="BO60" s="373"/>
      <c r="BP60" s="373"/>
      <c r="BQ60" s="373"/>
      <c r="BR60" s="373"/>
      <c r="BS60" s="373"/>
      <c r="BT60" s="373"/>
      <c r="BU60" s="373"/>
      <c r="BV60" s="373"/>
      <c r="BW60" s="373"/>
      <c r="BX60" s="373"/>
      <c r="BY60" s="373"/>
      <c r="BZ60" s="374"/>
      <c r="CA60" s="521"/>
      <c r="CB60" s="522"/>
      <c r="CC60" s="523"/>
      <c r="CD60" s="524"/>
      <c r="CL60" s="321"/>
      <c r="CM60" s="322"/>
      <c r="CN60" s="322"/>
      <c r="CO60" s="322"/>
      <c r="CP60" s="322"/>
      <c r="CQ60" s="323"/>
      <c r="KB60" s="500"/>
      <c r="KC60" s="516" t="str">
        <f>"     "&amp;J60</f>
        <v xml:space="preserve">     </v>
      </c>
      <c r="KD60" s="189"/>
      <c r="KN60" s="501"/>
      <c r="KO60" s="500"/>
      <c r="KZ60" s="501"/>
    </row>
    <row r="61" spans="1:312" ht="15" customHeight="1" thickBot="1" x14ac:dyDescent="0.3">
      <c r="A61" s="335"/>
      <c r="B61" s="336"/>
      <c r="C61" s="336"/>
      <c r="D61" s="336"/>
      <c r="F61" s="342"/>
      <c r="I61" s="730" t="s">
        <v>276</v>
      </c>
      <c r="J61" s="730"/>
      <c r="K61" s="730"/>
      <c r="L61" s="730"/>
      <c r="M61" s="730"/>
      <c r="N61" s="730"/>
      <c r="O61" s="730"/>
      <c r="P61" s="730"/>
      <c r="Q61" s="743" t="str">
        <f>IF(COUNTIF(Q57:Q59,"")&gt;0,N.D.,SUM(Q56:Q59))</f>
        <v>N.D.</v>
      </c>
      <c r="R61" s="743"/>
      <c r="S61" s="743"/>
      <c r="T61" s="743"/>
      <c r="U61" s="64"/>
      <c r="V61" s="743" t="str">
        <f>IF(OR(AND(V56="",Q56&lt;&gt;""),COUNTIF(V57:V59,"")&gt;0,),N.D.,SUM(V56:V59))</f>
        <v>N.D.</v>
      </c>
      <c r="W61" s="743"/>
      <c r="X61" s="743"/>
      <c r="Y61" s="743"/>
      <c r="Z61" s="64"/>
      <c r="AA61" s="743" t="str">
        <f>IF(COUNTIF(AA56:AA59,N.D.)&gt;0,N.D.,SUM(AA56:AA59))</f>
        <v>N.D.</v>
      </c>
      <c r="AB61" s="743"/>
      <c r="AC61" s="743"/>
      <c r="AD61" s="743"/>
      <c r="AH61" s="764" t="str">
        <f>IF(OR($Z$8="",$Z$9="",$Z$10="",$Z$15="",$Z$16="",$Z$17="",$Z$11="",V61=N.D.,V61=0),N.D.,IF(AND(A61="",Q61="",V61=""),"",IF(AA61&lt;V61,(V61-AA61)/AA61,(AA61-V61)/V61)))</f>
        <v>N.D.</v>
      </c>
      <c r="AI61" s="764"/>
      <c r="AJ61" s="764"/>
      <c r="AK61" s="764"/>
      <c r="AM61" s="580"/>
      <c r="AN61" s="580"/>
      <c r="AO61" s="937"/>
      <c r="AP61" s="937"/>
      <c r="AQ61" s="937"/>
      <c r="AR61" s="937"/>
      <c r="AS61" s="937"/>
      <c r="AT61" s="937"/>
      <c r="AU61" s="937"/>
      <c r="AV61" s="937"/>
      <c r="AW61" s="937"/>
      <c r="AX61" s="937"/>
      <c r="AY61" s="937"/>
      <c r="AZ61" s="937"/>
      <c r="BA61" s="937"/>
      <c r="BB61" s="937"/>
      <c r="BC61" s="937"/>
      <c r="BD61" s="937"/>
      <c r="BF61" s="342"/>
      <c r="BH61" s="375"/>
      <c r="BI61" s="909" t="s">
        <v>276</v>
      </c>
      <c r="BJ61" s="909"/>
      <c r="BK61" s="909"/>
      <c r="BL61" s="909"/>
      <c r="BM61" s="909"/>
      <c r="BN61" s="909"/>
      <c r="BO61" s="909"/>
      <c r="BP61" s="909"/>
      <c r="BQ61" s="923" t="str">
        <f>IF(COUNTIF(BQ57:BQ59,"")&gt;0,N.D.,SUM(BQ56:BQ59))</f>
        <v>N.D.</v>
      </c>
      <c r="BR61" s="923"/>
      <c r="BS61" s="923"/>
      <c r="BT61" s="923"/>
      <c r="BU61" s="333"/>
      <c r="BV61" s="707" t="str">
        <f>IF(OR(BQ61=N.D.,CA61=N.D.),N.D.,(CA61-BQ61))</f>
        <v>N.D.</v>
      </c>
      <c r="BW61" s="707"/>
      <c r="BX61" s="707"/>
      <c r="BY61" s="707"/>
      <c r="BZ61" s="333"/>
      <c r="CA61" s="964" t="str">
        <f>IF(COUNTIF(CA57:CA59,"")&gt;0,N.D.,SUM(CA56:CA59))</f>
        <v>N.D.</v>
      </c>
      <c r="CB61" s="964"/>
      <c r="CC61" s="964"/>
      <c r="CD61" s="965"/>
      <c r="CE61" s="5" t="str">
        <f>IF(SUM(BV61,BQ61)=SUM(V61),"ok","erreur")</f>
        <v>ok</v>
      </c>
      <c r="CM61" s="707" t="str">
        <f>IF(COUNTIF(CM57:CM59,"")&gt;0,N.D.,SUM(CM57:CM59))</f>
        <v>N.D.</v>
      </c>
      <c r="CN61" s="707"/>
      <c r="CO61" s="707"/>
      <c r="CP61" s="917"/>
      <c r="KB61" s="504"/>
      <c r="KC61" s="505"/>
      <c r="KD61" s="505"/>
      <c r="KE61" s="505"/>
      <c r="KF61" s="505"/>
      <c r="KG61" s="505"/>
      <c r="KH61" s="505"/>
      <c r="KI61" s="505"/>
      <c r="KJ61" s="505"/>
      <c r="KK61" s="505"/>
      <c r="KL61" s="505"/>
      <c r="KM61" s="505"/>
      <c r="KN61" s="506"/>
      <c r="KO61" s="504"/>
      <c r="KP61" s="505"/>
      <c r="KQ61" s="505"/>
      <c r="KR61" s="505"/>
      <c r="KS61" s="505"/>
      <c r="KT61" s="505"/>
      <c r="KU61" s="505"/>
      <c r="KV61" s="505"/>
      <c r="KW61" s="505"/>
      <c r="KX61" s="505"/>
      <c r="KY61" s="505"/>
      <c r="KZ61" s="506"/>
    </row>
    <row r="62" spans="1:312" ht="15" customHeight="1" thickBot="1" x14ac:dyDescent="0.3">
      <c r="F62" s="342"/>
      <c r="I62" s="770" t="str">
        <f>IF(OR(A61=N.D.,Q61=N.D.,V61=N.D.,AA61=N.D.),N.D.,"")</f>
        <v>N.D.</v>
      </c>
      <c r="J62" s="770"/>
      <c r="K62" s="938" t="str">
        <f>IF(I62=N.D.,txt_N.D.&amp;I5&amp;" ou "&amp;J53,"")</f>
        <v>Non disponible : vérifiez les données à la question 2.1. ou 2.3.1.</v>
      </c>
      <c r="L62" s="938"/>
      <c r="M62" s="938"/>
      <c r="N62" s="938"/>
      <c r="O62" s="938"/>
      <c r="P62" s="938"/>
      <c r="Q62" s="938"/>
      <c r="R62" s="938"/>
      <c r="S62" s="938"/>
      <c r="T62" s="938"/>
      <c r="U62" s="938"/>
      <c r="V62" s="938"/>
      <c r="W62" s="938"/>
      <c r="X62" s="938"/>
      <c r="Y62" s="938"/>
      <c r="Z62" s="938"/>
      <c r="AA62" s="938"/>
      <c r="AB62" s="938"/>
      <c r="AC62" s="938"/>
      <c r="AD62" s="938"/>
      <c r="AE62" s="938"/>
      <c r="AK62" s="367"/>
      <c r="AL62" s="367"/>
      <c r="AM62" s="580"/>
      <c r="AN62" s="580"/>
      <c r="AO62" s="937"/>
      <c r="AP62" s="937"/>
      <c r="AQ62" s="937"/>
      <c r="AR62" s="937"/>
      <c r="AS62" s="937"/>
      <c r="AT62" s="937"/>
      <c r="AU62" s="937"/>
      <c r="AV62" s="937"/>
      <c r="AW62" s="937"/>
      <c r="AX62" s="937"/>
      <c r="AY62" s="937"/>
      <c r="AZ62" s="937"/>
      <c r="BA62" s="937"/>
      <c r="BB62" s="937"/>
      <c r="BC62" s="937"/>
      <c r="BD62" s="937"/>
      <c r="BF62" s="342"/>
      <c r="CA62" s="351"/>
      <c r="CB62" s="351"/>
    </row>
    <row r="63" spans="1:312" ht="15" customHeight="1" x14ac:dyDescent="0.25">
      <c r="F63" s="342"/>
      <c r="AQ63" s="367"/>
      <c r="AR63" s="367"/>
      <c r="AS63" s="367"/>
      <c r="AT63" s="367"/>
      <c r="AU63" s="367"/>
      <c r="AV63" s="367"/>
      <c r="AW63" s="367"/>
      <c r="AX63" s="367"/>
      <c r="AY63" s="367"/>
      <c r="AZ63" s="367"/>
      <c r="BA63" s="367"/>
      <c r="BB63" s="367"/>
      <c r="BC63" s="367"/>
      <c r="BD63" s="367"/>
      <c r="BF63" s="342"/>
      <c r="BH63" s="517"/>
      <c r="BI63" s="703" t="s">
        <v>664</v>
      </c>
      <c r="BJ63" s="703"/>
      <c r="BK63" s="703"/>
      <c r="BL63" s="703"/>
      <c r="BM63" s="703"/>
      <c r="BN63" s="703"/>
      <c r="BO63" s="703"/>
      <c r="BP63" s="703"/>
      <c r="BQ63" s="703"/>
      <c r="BR63" s="703"/>
      <c r="BS63" s="703"/>
      <c r="BT63" s="703"/>
      <c r="BU63" s="703"/>
      <c r="BV63" s="703"/>
      <c r="BW63" s="703"/>
      <c r="BX63" s="703"/>
      <c r="BY63" s="703"/>
      <c r="BZ63" s="703"/>
      <c r="CA63" s="703"/>
      <c r="CB63" s="703"/>
      <c r="CC63" s="703"/>
      <c r="CD63" s="518"/>
      <c r="KH63" s="91"/>
    </row>
    <row r="64" spans="1:312" ht="15" customHeight="1" x14ac:dyDescent="0.25">
      <c r="C64" s="73" t="str">
        <f>C51&amp;".2"</f>
        <v>3.2</v>
      </c>
      <c r="D64" s="73"/>
      <c r="E64" s="21"/>
      <c r="F64" s="342"/>
      <c r="G64" s="19"/>
      <c r="H64" s="19"/>
      <c r="I64" s="19"/>
      <c r="J64" s="77" t="str">
        <f>CONCATENATE($B$2,".",$C64,".")</f>
        <v>2.3.2.</v>
      </c>
      <c r="K64" s="757" t="s">
        <v>551</v>
      </c>
      <c r="L64" s="757"/>
      <c r="M64" s="757"/>
      <c r="N64" s="757"/>
      <c r="O64" s="757"/>
      <c r="P64" s="757"/>
      <c r="Q64" s="757"/>
      <c r="R64" s="757"/>
      <c r="S64" s="757"/>
      <c r="T64" s="757"/>
      <c r="U64" s="757"/>
      <c r="V64" s="757"/>
      <c r="AQ64" s="367"/>
      <c r="AR64" s="367"/>
      <c r="AS64" s="367"/>
      <c r="AT64" s="367"/>
      <c r="AU64" s="367"/>
      <c r="AV64" s="367"/>
      <c r="AW64" s="367"/>
      <c r="AX64" s="367"/>
      <c r="BF64" s="342"/>
      <c r="BH64" s="328"/>
      <c r="BI64" s="325"/>
      <c r="BJ64" s="326"/>
      <c r="BK64" s="326"/>
      <c r="BL64" s="326"/>
      <c r="BM64" s="326"/>
      <c r="BN64" s="326"/>
      <c r="BO64" s="326"/>
      <c r="BP64" s="326"/>
      <c r="BQ64" s="699" t="str">
        <f>BQ55</f>
        <v>Récupéré (t)</v>
      </c>
      <c r="BR64" s="699"/>
      <c r="BS64" s="699"/>
      <c r="BT64" s="699"/>
      <c r="BU64" s="326"/>
      <c r="BV64" s="699" t="str">
        <f>BV55</f>
        <v>Éliminé (t)</v>
      </c>
      <c r="BW64" s="699"/>
      <c r="BX64" s="699"/>
      <c r="BY64" s="699"/>
      <c r="BZ64" s="327"/>
      <c r="CA64" s="698" t="str">
        <f>CA55</f>
        <v>Généré (t)</v>
      </c>
      <c r="CB64" s="699"/>
      <c r="CC64" s="699"/>
      <c r="CD64" s="700"/>
    </row>
    <row r="65" spans="1:102" ht="15" customHeight="1" x14ac:dyDescent="0.25">
      <c r="F65" s="342"/>
      <c r="AQ65" s="367"/>
      <c r="AR65" s="367"/>
      <c r="AS65" s="367"/>
      <c r="AT65" s="367"/>
      <c r="AU65" s="367"/>
      <c r="AV65" s="367"/>
      <c r="AW65" s="367"/>
      <c r="AX65" s="367"/>
      <c r="BF65" s="342"/>
      <c r="BH65" s="328"/>
      <c r="BI65" s="701" t="str">
        <f>BI56</f>
        <v>Branches et sapins de Noël</v>
      </c>
      <c r="BJ65" s="701"/>
      <c r="BK65" s="701"/>
      <c r="BL65" s="701"/>
      <c r="BM65" s="701"/>
      <c r="BN65" s="701"/>
      <c r="BO65" s="701"/>
      <c r="BP65" s="701"/>
      <c r="BQ65" s="702" t="str">
        <f>IF(BQ56="","",BQ56)</f>
        <v/>
      </c>
      <c r="BR65" s="702"/>
      <c r="BS65" s="702"/>
      <c r="BT65" s="702"/>
      <c r="BU65" s="348"/>
      <c r="BV65" s="702" t="str">
        <f>IF(BV56="","",BV56)</f>
        <v/>
      </c>
      <c r="BW65" s="702"/>
      <c r="BX65" s="702"/>
      <c r="BY65" s="702"/>
      <c r="BZ65" s="369"/>
      <c r="CA65" s="921" t="str">
        <f>IF(CA56="","",CA56)</f>
        <v/>
      </c>
      <c r="CB65" s="702"/>
      <c r="CC65" s="702"/>
      <c r="CD65" s="922"/>
    </row>
    <row r="66" spans="1:102" ht="15" customHeight="1" x14ac:dyDescent="0.25">
      <c r="D66" s="5">
        <v>1</v>
      </c>
      <c r="F66" s="342"/>
      <c r="K66" s="350" t="str">
        <f>CONCATENATE($J$64,,$D66,".")</f>
        <v>2.3.2.1.</v>
      </c>
      <c r="L66" s="728" t="s">
        <v>552</v>
      </c>
      <c r="M66" s="728"/>
      <c r="N66" s="728"/>
      <c r="O66" s="728"/>
      <c r="P66" s="728"/>
      <c r="Q66" s="728"/>
      <c r="R66" s="728"/>
      <c r="S66" s="728"/>
      <c r="T66" s="822"/>
      <c r="U66" s="822"/>
      <c r="V66" s="822"/>
      <c r="AQ66" s="367"/>
      <c r="AR66" s="367"/>
      <c r="AS66" s="367"/>
      <c r="AT66" s="367"/>
      <c r="AU66" s="367"/>
      <c r="AV66" s="367"/>
      <c r="AW66" s="367"/>
      <c r="AX66" s="367"/>
      <c r="BF66" s="342"/>
      <c r="BH66" s="328"/>
      <c r="BI66" s="701" t="str">
        <f>BI57</f>
        <v>Résidus verts</v>
      </c>
      <c r="BJ66" s="701"/>
      <c r="BK66" s="701"/>
      <c r="BL66" s="701"/>
      <c r="BM66" s="701"/>
      <c r="BN66" s="701"/>
      <c r="BO66" s="701"/>
      <c r="BP66" s="701"/>
      <c r="BQ66" s="742" t="str">
        <f>IF(BQ57="","",IF(BQ57=N.D.,N.D.,BQ57-$CM57))</f>
        <v/>
      </c>
      <c r="BR66" s="742"/>
      <c r="BS66" s="742"/>
      <c r="BT66" s="742"/>
      <c r="BU66" s="348"/>
      <c r="BV66" s="742" t="str">
        <f>IF(BV57=N.A.,N.A.,IF(BV57=N.D.,N.D.,IF(BV57="","",CA66-BQ66)))</f>
        <v/>
      </c>
      <c r="BW66" s="742"/>
      <c r="BX66" s="742"/>
      <c r="BY66" s="742"/>
      <c r="BZ66" s="369"/>
      <c r="CA66" s="704" t="str">
        <f>IF(CA57="","",IF(BQ57="",CA57,CA57-$CM57))</f>
        <v/>
      </c>
      <c r="CB66" s="705"/>
      <c r="CC66" s="705"/>
      <c r="CD66" s="706"/>
    </row>
    <row r="67" spans="1:102" ht="15" customHeight="1" x14ac:dyDescent="0.25">
      <c r="F67" s="342"/>
      <c r="L67" s="16" t="str">
        <f>puce1</f>
        <v>Ä</v>
      </c>
      <c r="M67" s="935" t="s">
        <v>687</v>
      </c>
      <c r="N67" s="935"/>
      <c r="O67" s="935"/>
      <c r="P67" s="935"/>
      <c r="Q67" s="935"/>
      <c r="R67" s="935"/>
      <c r="S67" s="935"/>
      <c r="T67" s="935"/>
      <c r="U67" s="935"/>
      <c r="V67" s="935"/>
      <c r="W67" s="935"/>
      <c r="X67" s="935"/>
      <c r="Y67" s="935"/>
      <c r="Z67" s="376"/>
      <c r="AA67" s="936"/>
      <c r="AB67" s="936"/>
      <c r="AC67" s="936"/>
      <c r="AD67" s="936"/>
      <c r="AF67" s="934" t="str">
        <f>IF(AND(T66="Non", AA67&gt;0),"Attention : vous avez indiqué à la question "&amp;K66&amp;" qu'il n'y a pas de compostage domestique sur votre territoire. Veuillez vérifier vos réponses.","")</f>
        <v/>
      </c>
      <c r="AG67" s="934"/>
      <c r="AH67" s="934"/>
      <c r="AI67" s="934"/>
      <c r="AJ67" s="934"/>
      <c r="AK67" s="934"/>
      <c r="AL67" s="934"/>
      <c r="AM67" s="934"/>
      <c r="AN67" s="934"/>
      <c r="AO67" s="934"/>
      <c r="AP67" s="934"/>
      <c r="AQ67" s="934"/>
      <c r="AR67" s="934"/>
      <c r="AS67" s="934"/>
      <c r="AT67" s="934"/>
      <c r="AU67" s="934"/>
      <c r="AV67" s="934"/>
      <c r="AW67" s="934"/>
      <c r="AX67" s="934"/>
      <c r="AY67" s="934"/>
      <c r="AZ67" s="934"/>
      <c r="BA67" s="934"/>
      <c r="BB67" s="934"/>
      <c r="BC67" s="934"/>
      <c r="BD67" s="934"/>
      <c r="BF67" s="342"/>
      <c r="BH67" s="328"/>
      <c r="BI67" s="512" t="str">
        <f>BI58</f>
        <v>Résidus alimentaires</v>
      </c>
      <c r="BJ67" s="512"/>
      <c r="BK67" s="512"/>
      <c r="BL67" s="512"/>
      <c r="BM67" s="512"/>
      <c r="BN67" s="512"/>
      <c r="BO67" s="512"/>
      <c r="BP67" s="512"/>
      <c r="BQ67" s="742" t="str">
        <f>IF(BQ58="","",BQ58-CM58)</f>
        <v/>
      </c>
      <c r="BR67" s="742"/>
      <c r="BS67" s="742"/>
      <c r="BT67" s="742"/>
      <c r="BU67" s="348"/>
      <c r="BV67" s="742" t="str">
        <f>IF(BV58=N.A.,N.A.,IF(BV58=N.D.,N.D.,IF(BV58="","",CA67-BQ67)))</f>
        <v/>
      </c>
      <c r="BW67" s="742"/>
      <c r="BX67" s="742"/>
      <c r="BY67" s="742"/>
      <c r="BZ67" s="369"/>
      <c r="CA67" s="704" t="str">
        <f>IF(CA58="","",IF(BQ58="",CA58,CA58-$CM58))</f>
        <v/>
      </c>
      <c r="CB67" s="705"/>
      <c r="CC67" s="705"/>
      <c r="CD67" s="706"/>
    </row>
    <row r="68" spans="1:102" ht="15" customHeight="1" x14ac:dyDescent="0.25">
      <c r="F68" s="342"/>
      <c r="AF68" s="934"/>
      <c r="AG68" s="934"/>
      <c r="AH68" s="934"/>
      <c r="AI68" s="934"/>
      <c r="AJ68" s="934"/>
      <c r="AK68" s="934"/>
      <c r="AL68" s="934"/>
      <c r="AM68" s="934"/>
      <c r="AN68" s="934"/>
      <c r="AO68" s="934"/>
      <c r="AP68" s="934"/>
      <c r="AQ68" s="934"/>
      <c r="AR68" s="934"/>
      <c r="AS68" s="934"/>
      <c r="AT68" s="934"/>
      <c r="AU68" s="934"/>
      <c r="AV68" s="934"/>
      <c r="AW68" s="934"/>
      <c r="AX68" s="934"/>
      <c r="AY68" s="934"/>
      <c r="AZ68" s="934"/>
      <c r="BA68" s="934"/>
      <c r="BB68" s="934"/>
      <c r="BC68" s="934"/>
      <c r="BD68" s="934"/>
      <c r="BF68" s="342"/>
      <c r="BH68" s="328"/>
      <c r="BI68" s="512" t="str">
        <f>BI59</f>
        <v>Autres résidus organiques</v>
      </c>
      <c r="BJ68" s="512"/>
      <c r="BK68" s="512"/>
      <c r="BL68" s="512"/>
      <c r="BM68" s="512"/>
      <c r="BN68" s="512"/>
      <c r="BO68" s="512"/>
      <c r="BP68" s="512"/>
      <c r="BQ68" s="742" t="str">
        <f>IF(BQ59="","",BQ59-CM59)</f>
        <v/>
      </c>
      <c r="BR68" s="742"/>
      <c r="BS68" s="742"/>
      <c r="BT68" s="742"/>
      <c r="BU68" s="348"/>
      <c r="BV68" s="742" t="str">
        <f>IF(BV59=N.A.,N.A.,IF(BV59=N.D.,N.D.,IF(BV59="","",CA68-BQ68)))</f>
        <v/>
      </c>
      <c r="BW68" s="742"/>
      <c r="BX68" s="742"/>
      <c r="BY68" s="742"/>
      <c r="BZ68" s="369"/>
      <c r="CA68" s="704" t="str">
        <f>IF(CA59="","",IF(BQ59="",CA59,CA59-$CM59))</f>
        <v/>
      </c>
      <c r="CB68" s="705"/>
      <c r="CC68" s="705"/>
      <c r="CD68" s="706"/>
      <c r="CS68" s="280" t="s">
        <v>721</v>
      </c>
    </row>
    <row r="69" spans="1:102" ht="15" customHeight="1" thickBot="1" x14ac:dyDescent="0.3">
      <c r="D69" s="5">
        <v>2</v>
      </c>
      <c r="F69" s="342"/>
      <c r="K69" s="350" t="str">
        <f>CONCATENATE($J$64,,$D69,".")</f>
        <v>2.3.2.2.</v>
      </c>
      <c r="L69" s="341" t="s">
        <v>553</v>
      </c>
      <c r="T69" s="822"/>
      <c r="U69" s="822"/>
      <c r="V69" s="822"/>
      <c r="AM69" s="930" t="str">
        <f>IF(AND(CS69="",CS70=""),"",CS69&amp;CS70&amp;" Est-ce bel et bien le cas?")</f>
        <v/>
      </c>
      <c r="AN69" s="930"/>
      <c r="AO69" s="930"/>
      <c r="AP69" s="930"/>
      <c r="AQ69" s="930"/>
      <c r="AR69" s="930"/>
      <c r="AS69" s="930"/>
      <c r="AT69" s="930"/>
      <c r="AU69" s="930"/>
      <c r="AV69" s="930"/>
      <c r="AW69" s="930"/>
      <c r="AX69" s="930"/>
      <c r="AY69" s="930"/>
      <c r="AZ69" s="930"/>
      <c r="BA69" s="930"/>
      <c r="BB69" s="930"/>
      <c r="BC69" s="930"/>
      <c r="BD69" s="930"/>
      <c r="BF69" s="342"/>
      <c r="BH69" s="328"/>
      <c r="CA69" s="113"/>
      <c r="CB69" s="113"/>
      <c r="CC69" s="113"/>
      <c r="CD69" s="525"/>
      <c r="CS69" s="370" t="str">
        <f>IF(AND(T69&lt;&gt;"oui",OR(V70="oui",AI71="oui",AI72="oui")),"Vous indiquez l'absence d'herbicyclage.","")</f>
        <v/>
      </c>
      <c r="CT69" s="31"/>
      <c r="CU69" s="31"/>
      <c r="CV69" s="31"/>
      <c r="CW69" s="31"/>
      <c r="CX69" s="371"/>
    </row>
    <row r="70" spans="1:102" ht="15" customHeight="1" thickBot="1" x14ac:dyDescent="0.3">
      <c r="F70" s="342"/>
      <c r="L70" s="16" t="str">
        <f>puce1</f>
        <v>Ä</v>
      </c>
      <c r="M70" s="376" t="s">
        <v>7</v>
      </c>
      <c r="V70" s="822"/>
      <c r="W70" s="822"/>
      <c r="X70" s="822"/>
      <c r="AM70" s="930"/>
      <c r="AN70" s="930"/>
      <c r="AO70" s="930"/>
      <c r="AP70" s="930"/>
      <c r="AQ70" s="930"/>
      <c r="AR70" s="930"/>
      <c r="AS70" s="930"/>
      <c r="AT70" s="930"/>
      <c r="AU70" s="930"/>
      <c r="AV70" s="930"/>
      <c r="AW70" s="930"/>
      <c r="AX70" s="930"/>
      <c r="AY70" s="930"/>
      <c r="AZ70" s="930"/>
      <c r="BA70" s="930"/>
      <c r="BB70" s="930"/>
      <c r="BC70" s="930"/>
      <c r="BD70" s="930"/>
      <c r="BF70" s="342"/>
      <c r="BH70" s="519"/>
      <c r="BI70" s="520" t="s">
        <v>276</v>
      </c>
      <c r="BJ70" s="520"/>
      <c r="BK70" s="520"/>
      <c r="BL70" s="520"/>
      <c r="BM70" s="520"/>
      <c r="BN70" s="520"/>
      <c r="BO70" s="520"/>
      <c r="BP70" s="520"/>
      <c r="BQ70" s="924" t="str">
        <f>IF(COUNTIF(BQ66:BQ68,"")&gt;0,N.D.,SUM(BQ65:BQ68))</f>
        <v>N.D.</v>
      </c>
      <c r="BR70" s="924"/>
      <c r="BS70" s="924"/>
      <c r="BT70" s="924"/>
      <c r="BU70" s="334"/>
      <c r="BV70" s="924" t="str">
        <f>IF(OR(BQ70=N.D.,CA70=N.D.),N.D.,(CA70-BQ70))</f>
        <v>N.D.</v>
      </c>
      <c r="BW70" s="924"/>
      <c r="BX70" s="924"/>
      <c r="BY70" s="924"/>
      <c r="BZ70" s="334"/>
      <c r="CA70" s="924" t="str">
        <f>IF(COUNTIF(CA66:CA68,"")&gt;0,N.D.,SUM(CA65:CA68))</f>
        <v>N.D.</v>
      </c>
      <c r="CB70" s="924"/>
      <c r="CC70" s="924"/>
      <c r="CD70" s="963"/>
      <c r="CS70" s="370" t="str">
        <f>IF(AND(V70&lt;&gt;"oui",OR(AI71="oui",AI72="oui"))," Vous indiquez que des activités de sensibilisation ne sont pas présentes, malgré une réglementation.","")</f>
        <v/>
      </c>
      <c r="CT70" s="31"/>
      <c r="CU70" s="31"/>
      <c r="CV70" s="31"/>
      <c r="CW70" s="31"/>
      <c r="CX70" s="371"/>
    </row>
    <row r="71" spans="1:102" ht="15" customHeight="1" x14ac:dyDescent="0.25">
      <c r="F71" s="342"/>
      <c r="K71" s="22"/>
      <c r="L71" s="16" t="str">
        <f>puce1</f>
        <v>Ä</v>
      </c>
      <c r="M71" s="376" t="s">
        <v>707</v>
      </c>
      <c r="AI71" s="822"/>
      <c r="AJ71" s="822"/>
      <c r="AK71" s="822"/>
      <c r="AM71" s="930"/>
      <c r="AN71" s="930"/>
      <c r="AO71" s="930"/>
      <c r="AP71" s="930"/>
      <c r="AQ71" s="930"/>
      <c r="AR71" s="930"/>
      <c r="AS71" s="930"/>
      <c r="AT71" s="930"/>
      <c r="AU71" s="930"/>
      <c r="AV71" s="930"/>
      <c r="AW71" s="930"/>
      <c r="AX71" s="930"/>
      <c r="AY71" s="930"/>
      <c r="AZ71" s="930"/>
      <c r="BA71" s="930"/>
      <c r="BB71" s="930"/>
      <c r="BC71" s="930"/>
      <c r="BD71" s="930"/>
      <c r="BF71" s="342"/>
      <c r="BI71" s="348"/>
      <c r="BJ71" s="348"/>
      <c r="BK71" s="348"/>
      <c r="BL71" s="348"/>
      <c r="BM71" s="348"/>
      <c r="BN71" s="348"/>
      <c r="BO71" s="348"/>
      <c r="BP71" s="348"/>
      <c r="BQ71" s="348"/>
      <c r="BR71" s="348"/>
      <c r="BS71" s="348"/>
      <c r="BT71" s="348"/>
      <c r="BU71" s="348"/>
      <c r="BV71" s="348"/>
      <c r="BW71" s="348"/>
      <c r="BX71" s="348"/>
      <c r="BY71" s="348"/>
      <c r="BZ71" s="348"/>
      <c r="CA71" s="351"/>
      <c r="CB71" s="351"/>
    </row>
    <row r="72" spans="1:102" ht="15" customHeight="1" thickBot="1" x14ac:dyDescent="0.3">
      <c r="F72" s="342"/>
      <c r="L72" s="16" t="str">
        <f>puce1</f>
        <v>Ä</v>
      </c>
      <c r="M72" s="376" t="s">
        <v>688</v>
      </c>
      <c r="AI72" s="822"/>
      <c r="AJ72" s="822"/>
      <c r="AK72" s="822"/>
      <c r="AM72" s="930"/>
      <c r="AN72" s="930"/>
      <c r="AO72" s="930"/>
      <c r="AP72" s="930"/>
      <c r="AQ72" s="930"/>
      <c r="AR72" s="930"/>
      <c r="AS72" s="930"/>
      <c r="AT72" s="930"/>
      <c r="AU72" s="930"/>
      <c r="AV72" s="930"/>
      <c r="AW72" s="930"/>
      <c r="AX72" s="930"/>
      <c r="AY72" s="930"/>
      <c r="AZ72" s="930"/>
      <c r="BA72" s="930"/>
      <c r="BB72" s="930"/>
      <c r="BC72" s="930"/>
      <c r="BD72" s="930"/>
      <c r="BF72" s="342"/>
    </row>
    <row r="73" spans="1:102" ht="15" customHeight="1" x14ac:dyDescent="0.25">
      <c r="F73" s="342"/>
      <c r="BF73" s="342"/>
      <c r="BH73" s="106"/>
      <c r="BI73" s="107"/>
      <c r="BJ73" s="107"/>
      <c r="BK73" s="107"/>
      <c r="BL73" s="107"/>
      <c r="BM73" s="107"/>
      <c r="BN73" s="108"/>
    </row>
    <row r="74" spans="1:102" ht="15" customHeight="1" x14ac:dyDescent="0.25">
      <c r="C74" s="73" t="str">
        <f>C51&amp;".3"</f>
        <v>3.3</v>
      </c>
      <c r="F74" s="342"/>
      <c r="J74" s="77" t="str">
        <f>CONCATENATE($B$2,".",$C74,".")</f>
        <v>2.3.3.</v>
      </c>
      <c r="K74" s="929" t="str">
        <f>"Par défaut, un taux de rejets moyen de "&amp;Paramètres!F120*100&amp;" % aux centres de traitement de la matière organique est appliqué aux résultats obtenus. Si vous souhaitez utiliser un autre taux de rejet, veuillez l'inscrire ici : "</f>
        <v xml:space="preserve">Par défaut, un taux de rejets moyen de 4 % aux centres de traitement de la matière organique est appliqué aux résultats obtenus. Si vous souhaitez utiliser un autre taux de rejet, veuillez l'inscrire ici : </v>
      </c>
      <c r="L74" s="929"/>
      <c r="M74" s="929"/>
      <c r="N74" s="929"/>
      <c r="O74" s="929"/>
      <c r="P74" s="929"/>
      <c r="Q74" s="929"/>
      <c r="R74" s="929"/>
      <c r="S74" s="929"/>
      <c r="T74" s="929"/>
      <c r="U74" s="929"/>
      <c r="V74" s="929"/>
      <c r="W74" s="929"/>
      <c r="X74" s="929"/>
      <c r="Y74" s="929"/>
      <c r="Z74" s="929"/>
      <c r="AA74" s="929"/>
      <c r="AB74" s="929"/>
      <c r="AC74" s="929"/>
      <c r="AD74" s="929"/>
      <c r="AE74" s="929"/>
      <c r="AF74" s="929"/>
      <c r="AG74" s="929"/>
      <c r="AH74" s="929"/>
      <c r="AI74" s="929"/>
      <c r="AJ74" s="929"/>
      <c r="AK74" s="929"/>
      <c r="AL74" s="929"/>
      <c r="AM74" s="929"/>
      <c r="AN74" s="929"/>
      <c r="AO74" s="929"/>
      <c r="AP74" s="929"/>
      <c r="AQ74" s="929"/>
      <c r="AR74" s="929"/>
      <c r="AS74" s="929"/>
      <c r="AT74" s="929"/>
      <c r="AU74" s="929"/>
      <c r="AV74" s="761"/>
      <c r="AW74" s="761"/>
      <c r="AX74" s="761"/>
      <c r="BF74" s="342"/>
      <c r="BH74" s="57"/>
      <c r="BI74" s="699" t="s">
        <v>602</v>
      </c>
      <c r="BJ74" s="699"/>
      <c r="BK74" s="699"/>
      <c r="BL74" s="699"/>
      <c r="BM74" s="699"/>
      <c r="BN74" s="27"/>
    </row>
    <row r="75" spans="1:102" ht="15" customHeight="1" x14ac:dyDescent="0.25">
      <c r="F75" s="342"/>
      <c r="J75" s="22"/>
      <c r="K75" s="929"/>
      <c r="L75" s="929"/>
      <c r="M75" s="929"/>
      <c r="N75" s="929"/>
      <c r="O75" s="929"/>
      <c r="P75" s="929"/>
      <c r="Q75" s="929"/>
      <c r="R75" s="929"/>
      <c r="S75" s="929"/>
      <c r="T75" s="929"/>
      <c r="U75" s="929"/>
      <c r="V75" s="929"/>
      <c r="W75" s="929"/>
      <c r="X75" s="929"/>
      <c r="Y75" s="929"/>
      <c r="Z75" s="929"/>
      <c r="AA75" s="929"/>
      <c r="AB75" s="929"/>
      <c r="AC75" s="929"/>
      <c r="AD75" s="929"/>
      <c r="AE75" s="929"/>
      <c r="AF75" s="929"/>
      <c r="AG75" s="929"/>
      <c r="AH75" s="929"/>
      <c r="AI75" s="929"/>
      <c r="AJ75" s="929"/>
      <c r="AK75" s="929"/>
      <c r="AL75" s="929"/>
      <c r="AM75" s="929"/>
      <c r="AN75" s="929"/>
      <c r="AO75" s="929"/>
      <c r="AP75" s="929"/>
      <c r="AQ75" s="929"/>
      <c r="AR75" s="929"/>
      <c r="AS75" s="929"/>
      <c r="AT75" s="929"/>
      <c r="AU75" s="929"/>
      <c r="BF75" s="342"/>
      <c r="BH75" s="57"/>
      <c r="BI75" s="966">
        <f>IF(AV74="",Paramètres!F120,AV74)</f>
        <v>0.04</v>
      </c>
      <c r="BJ75" s="966"/>
      <c r="BK75" s="966"/>
      <c r="BL75" s="966"/>
      <c r="BM75" s="966"/>
      <c r="BN75" s="27"/>
    </row>
    <row r="76" spans="1:102" ht="15" customHeight="1" thickBot="1" x14ac:dyDescent="0.3">
      <c r="F76" s="342"/>
      <c r="BF76" s="342"/>
      <c r="BH76" s="58"/>
      <c r="BI76" s="34"/>
      <c r="BJ76" s="34"/>
      <c r="BK76" s="34"/>
      <c r="BL76" s="34"/>
      <c r="BM76" s="34"/>
      <c r="BN76" s="35"/>
    </row>
    <row r="77" spans="1:102" ht="15" customHeight="1" x14ac:dyDescent="0.25">
      <c r="C77" s="72" t="s">
        <v>665</v>
      </c>
      <c r="D77" s="72"/>
      <c r="E77" s="36"/>
      <c r="F77" s="342"/>
      <c r="J77" s="77" t="str">
        <f>CONCATENATE($B$2,".",$C77,".")</f>
        <v>2.3.4.</v>
      </c>
      <c r="K77" s="733" t="s">
        <v>128</v>
      </c>
      <c r="L77" s="733"/>
      <c r="M77" s="733"/>
      <c r="N77" s="733"/>
      <c r="O77" s="733"/>
      <c r="P77" s="733"/>
      <c r="Q77" s="733"/>
      <c r="R77" s="733"/>
      <c r="BF77" s="342"/>
    </row>
    <row r="78" spans="1:102" ht="15" customHeight="1" x14ac:dyDescent="0.25">
      <c r="C78" s="73" t="str">
        <f>C77&amp;".1"</f>
        <v>3.4.1</v>
      </c>
      <c r="D78" s="72"/>
      <c r="E78" s="36"/>
      <c r="F78" s="342"/>
      <c r="K78" s="350" t="str">
        <f>CONCATENATE($B$2,".",$C78,".")</f>
        <v>2.3.4.1.</v>
      </c>
      <c r="L78" s="728" t="s">
        <v>673</v>
      </c>
      <c r="M78" s="728"/>
      <c r="N78" s="728"/>
      <c r="O78" s="728"/>
      <c r="P78" s="728"/>
      <c r="Q78" s="728"/>
      <c r="R78" s="728"/>
      <c r="S78" s="728"/>
      <c r="T78" s="728"/>
      <c r="U78" s="728"/>
      <c r="V78" s="728"/>
      <c r="W78" s="728"/>
      <c r="X78" s="728"/>
      <c r="Y78" s="728"/>
      <c r="Z78" s="728"/>
      <c r="AA78" s="728"/>
      <c r="AB78" s="728"/>
      <c r="AC78" s="728"/>
      <c r="AD78" s="728"/>
      <c r="AE78" s="728"/>
      <c r="AF78" s="728"/>
      <c r="AG78" s="728"/>
      <c r="AH78" s="728"/>
      <c r="AI78" s="728"/>
      <c r="AJ78" s="728"/>
      <c r="AK78" s="728"/>
      <c r="AL78" s="728"/>
      <c r="AM78" s="822"/>
      <c r="AN78" s="822"/>
      <c r="AO78" s="822"/>
      <c r="AP78" s="822"/>
      <c r="BF78" s="342"/>
    </row>
    <row r="79" spans="1:102" ht="6" customHeight="1" x14ac:dyDescent="0.25">
      <c r="C79" s="73"/>
      <c r="D79" s="72"/>
      <c r="E79" s="36"/>
      <c r="F79" s="342"/>
      <c r="J79" s="77"/>
      <c r="K79" s="22"/>
      <c r="BF79" s="342"/>
    </row>
    <row r="80" spans="1:102" ht="15" customHeight="1" x14ac:dyDescent="0.25">
      <c r="A80" s="5" t="s">
        <v>83</v>
      </c>
      <c r="C80" s="72"/>
      <c r="D80" s="72"/>
      <c r="E80" s="36"/>
      <c r="F80" s="342"/>
      <c r="L80" s="811" t="str">
        <f>IF(crd_parasites="oui",txt_pour_info,"")</f>
        <v/>
      </c>
      <c r="M80" s="811"/>
      <c r="N80" s="811"/>
      <c r="O80" s="811"/>
      <c r="P80" s="811"/>
      <c r="Q80" s="811"/>
      <c r="R80" s="811"/>
      <c r="S80" s="811"/>
      <c r="T80" s="811"/>
      <c r="U80" s="811"/>
      <c r="V80" s="811"/>
      <c r="W80" s="811"/>
      <c r="X80" s="811"/>
      <c r="Y80" s="811"/>
      <c r="Z80" s="811"/>
      <c r="AA80" s="811"/>
      <c r="AB80" s="811"/>
      <c r="AC80" s="811"/>
      <c r="AD80" s="811"/>
      <c r="AE80" s="811"/>
      <c r="AF80" s="811"/>
      <c r="AG80" s="811"/>
      <c r="AH80" s="811"/>
      <c r="AI80" s="811"/>
      <c r="AJ80" s="811"/>
      <c r="AK80" s="811"/>
      <c r="AL80" s="811"/>
      <c r="AM80" s="811"/>
      <c r="AN80" s="811"/>
      <c r="AO80" s="811"/>
      <c r="BF80" s="342"/>
    </row>
    <row r="81" spans="3:78" ht="15" customHeight="1" x14ac:dyDescent="0.25">
      <c r="F81" s="342"/>
      <c r="BF81" s="342"/>
    </row>
    <row r="82" spans="3:78" ht="5.25" customHeight="1" x14ac:dyDescent="0.25">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row>
    <row r="83" spans="3:78" ht="15" customHeight="1" x14ac:dyDescent="0.25">
      <c r="F83" s="342"/>
      <c r="BF83" s="342"/>
    </row>
    <row r="84" spans="3:78" ht="15" customHeight="1" x14ac:dyDescent="0.25">
      <c r="C84" s="73">
        <f>C51+1</f>
        <v>4</v>
      </c>
      <c r="F84" s="342"/>
      <c r="I84" s="346" t="str">
        <f>CONCATENATE($B$2,".",$C84,".")</f>
        <v>2.4.</v>
      </c>
      <c r="J84" s="347" t="s">
        <v>545</v>
      </c>
      <c r="BF84" s="342"/>
    </row>
    <row r="85" spans="3:78" ht="15" customHeight="1" x14ac:dyDescent="0.25">
      <c r="C85" s="73"/>
      <c r="F85" s="342"/>
      <c r="I85" s="346"/>
      <c r="J85" s="347"/>
      <c r="BF85" s="342"/>
    </row>
    <row r="86" spans="3:78" ht="15" customHeight="1" x14ac:dyDescent="0.25">
      <c r="C86" s="73"/>
      <c r="F86" s="342"/>
      <c r="I86" s="931" t="s">
        <v>788</v>
      </c>
      <c r="J86" s="932"/>
      <c r="K86" s="932"/>
      <c r="L86" s="932"/>
      <c r="M86" s="932"/>
      <c r="N86" s="932"/>
      <c r="O86" s="932"/>
      <c r="P86" s="932"/>
      <c r="Q86" s="932"/>
      <c r="R86" s="932"/>
      <c r="S86" s="932"/>
      <c r="T86" s="932"/>
      <c r="U86" s="932"/>
      <c r="V86" s="932"/>
      <c r="W86" s="932"/>
      <c r="X86" s="932"/>
      <c r="Y86" s="932"/>
      <c r="Z86" s="932"/>
      <c r="AA86" s="932"/>
      <c r="AB86" s="932"/>
      <c r="AC86" s="932"/>
      <c r="AD86" s="932"/>
      <c r="AE86" s="932"/>
      <c r="AF86" s="932"/>
      <c r="AG86" s="932"/>
      <c r="AH86" s="932"/>
      <c r="AI86" s="932"/>
      <c r="AJ86" s="932"/>
      <c r="AK86" s="932"/>
      <c r="AL86" s="932"/>
      <c r="AM86" s="932"/>
      <c r="AN86" s="932"/>
      <c r="AO86" s="932"/>
      <c r="AP86" s="932"/>
      <c r="AQ86" s="932"/>
      <c r="AR86" s="932"/>
      <c r="AS86" s="932"/>
      <c r="AT86" s="932"/>
      <c r="AU86" s="932"/>
      <c r="AV86" s="932"/>
      <c r="AW86" s="933"/>
      <c r="BF86" s="342"/>
    </row>
    <row r="87" spans="3:78" ht="15" customHeight="1" x14ac:dyDescent="0.25">
      <c r="F87" s="342"/>
      <c r="BF87" s="342"/>
    </row>
    <row r="88" spans="3:78" ht="15" customHeight="1" x14ac:dyDescent="0.25">
      <c r="C88" s="73" t="str">
        <f>$C$84&amp;".1"</f>
        <v>4.1</v>
      </c>
      <c r="D88" s="73"/>
      <c r="E88" s="21"/>
      <c r="F88" s="342"/>
      <c r="G88" s="19"/>
      <c r="H88" s="19"/>
      <c r="I88" s="19"/>
      <c r="J88" s="77" t="str">
        <f>CONCATENATE($B$2,".",$C88,".")</f>
        <v>2.4.1.</v>
      </c>
      <c r="K88" s="820" t="s">
        <v>561</v>
      </c>
      <c r="L88" s="733"/>
      <c r="M88" s="733"/>
      <c r="N88" s="733"/>
      <c r="O88" s="733"/>
      <c r="P88" s="733"/>
      <c r="Q88" s="733"/>
      <c r="R88" s="733"/>
      <c r="S88" s="733"/>
      <c r="T88" s="733"/>
      <c r="U88" s="733"/>
      <c r="V88" s="733"/>
      <c r="W88" s="733"/>
      <c r="X88" s="733"/>
      <c r="Y88" s="733"/>
      <c r="Z88" s="733"/>
      <c r="AA88" s="733"/>
      <c r="AB88" s="733"/>
      <c r="BF88" s="342"/>
    </row>
    <row r="89" spans="3:78" ht="15" customHeight="1" x14ac:dyDescent="0.25">
      <c r="F89" s="342"/>
      <c r="BF89" s="342"/>
    </row>
    <row r="90" spans="3:78" ht="15" customHeight="1" x14ac:dyDescent="0.25">
      <c r="D90" s="73" t="str">
        <f>$C$88&amp;".1"</f>
        <v>4.1.1</v>
      </c>
      <c r="E90" s="21"/>
      <c r="F90" s="342"/>
      <c r="G90" s="19"/>
      <c r="H90" s="19"/>
      <c r="I90" s="19"/>
      <c r="J90" s="350" t="str">
        <f>CONCATENATE($B$2,".",$D90,".")</f>
        <v>2.4.1.1.</v>
      </c>
      <c r="K90" s="788" t="s">
        <v>766</v>
      </c>
      <c r="L90" s="788"/>
      <c r="M90" s="788"/>
      <c r="N90" s="788"/>
      <c r="O90" s="788"/>
      <c r="P90" s="788"/>
      <c r="Q90" s="788"/>
      <c r="R90" s="788"/>
      <c r="S90" s="788"/>
      <c r="T90" s="788"/>
      <c r="U90" s="788"/>
      <c r="V90" s="788"/>
      <c r="W90" s="788"/>
      <c r="X90" s="788"/>
      <c r="Y90" s="822"/>
      <c r="Z90" s="822"/>
      <c r="AA90" s="822"/>
      <c r="BF90" s="342"/>
    </row>
    <row r="91" spans="3:78" ht="15" customHeight="1" x14ac:dyDescent="0.25">
      <c r="D91" s="73"/>
      <c r="E91" s="21"/>
      <c r="F91" s="342"/>
      <c r="G91" s="19"/>
      <c r="H91" s="19"/>
      <c r="I91" s="19"/>
      <c r="J91" s="350"/>
      <c r="K91" s="587"/>
      <c r="L91" s="587"/>
      <c r="M91" s="587"/>
      <c r="N91" s="587"/>
      <c r="O91" s="587"/>
      <c r="P91" s="587"/>
      <c r="Q91" s="587"/>
      <c r="R91" s="587"/>
      <c r="S91" s="587"/>
      <c r="T91" s="587"/>
      <c r="U91" s="587"/>
      <c r="V91" s="587"/>
      <c r="W91" s="587"/>
      <c r="X91" s="587"/>
      <c r="Y91" s="590"/>
      <c r="Z91" s="590"/>
      <c r="AA91" s="590"/>
      <c r="BF91" s="342"/>
    </row>
    <row r="92" spans="3:78" ht="15" customHeight="1" thickBot="1" x14ac:dyDescent="0.3">
      <c r="D92" s="73"/>
      <c r="E92" s="21"/>
      <c r="F92" s="342"/>
      <c r="G92" s="19"/>
      <c r="H92" s="19"/>
      <c r="I92" s="829" t="s">
        <v>784</v>
      </c>
      <c r="J92" s="830"/>
      <c r="K92" s="830"/>
      <c r="L92" s="830"/>
      <c r="M92" s="830"/>
      <c r="N92" s="830"/>
      <c r="O92" s="830"/>
      <c r="P92" s="830"/>
      <c r="Q92" s="830"/>
      <c r="R92" s="830"/>
      <c r="S92" s="830"/>
      <c r="T92" s="830"/>
      <c r="U92" s="830"/>
      <c r="V92" s="830"/>
      <c r="W92" s="830"/>
      <c r="X92" s="830"/>
      <c r="Y92" s="830"/>
      <c r="Z92" s="830"/>
      <c r="AA92" s="830"/>
      <c r="AB92" s="830"/>
      <c r="AC92" s="830"/>
      <c r="AD92" s="830"/>
      <c r="AE92" s="830"/>
      <c r="AF92" s="830"/>
      <c r="AG92" s="830"/>
      <c r="AH92" s="830"/>
      <c r="AI92" s="830"/>
      <c r="AJ92" s="830"/>
      <c r="AK92" s="830"/>
      <c r="AL92" s="830"/>
      <c r="AM92" s="830"/>
      <c r="AN92" s="830"/>
      <c r="AO92" s="830"/>
      <c r="AP92" s="830"/>
      <c r="AQ92" s="830"/>
      <c r="AR92" s="830"/>
      <c r="AS92" s="830"/>
      <c r="AT92" s="830"/>
      <c r="AU92" s="830"/>
      <c r="AV92" s="830"/>
      <c r="AW92" s="830"/>
      <c r="AX92" s="830"/>
      <c r="AY92" s="830"/>
      <c r="AZ92" s="830"/>
      <c r="BA92" s="830"/>
      <c r="BB92" s="830"/>
      <c r="BC92" s="830"/>
      <c r="BD92" s="830"/>
      <c r="BE92" s="831"/>
      <c r="BF92" s="342"/>
    </row>
    <row r="93" spans="3:78" ht="15" customHeight="1" x14ac:dyDescent="0.25">
      <c r="F93" s="342"/>
      <c r="BF93" s="342"/>
      <c r="BH93" s="319"/>
      <c r="BI93" s="377"/>
      <c r="BJ93" s="377"/>
      <c r="BK93" s="377"/>
      <c r="BL93" s="377"/>
      <c r="BM93" s="377"/>
      <c r="BN93" s="377"/>
      <c r="BO93" s="377"/>
      <c r="BP93" s="377"/>
      <c r="BQ93" s="377"/>
      <c r="BR93" s="377"/>
      <c r="BS93" s="377"/>
      <c r="BT93" s="377"/>
      <c r="BU93" s="377"/>
      <c r="BV93" s="377"/>
      <c r="BW93" s="377"/>
      <c r="BX93" s="377"/>
      <c r="BY93" s="377"/>
      <c r="BZ93" s="320"/>
    </row>
    <row r="94" spans="3:78" ht="15" customHeight="1" x14ac:dyDescent="0.25">
      <c r="F94" s="342"/>
      <c r="J94" s="826" t="s">
        <v>769</v>
      </c>
      <c r="K94" s="826"/>
      <c r="L94" s="826"/>
      <c r="M94" s="826"/>
      <c r="N94" s="826"/>
      <c r="O94" s="134"/>
      <c r="P94" s="826" t="s">
        <v>768</v>
      </c>
      <c r="Q94" s="826"/>
      <c r="R94" s="826"/>
      <c r="S94" s="826"/>
      <c r="T94" s="826"/>
      <c r="U94" s="826"/>
      <c r="V94" s="826"/>
      <c r="W94" s="826"/>
      <c r="X94" s="131"/>
      <c r="Y94" s="826" t="s">
        <v>767</v>
      </c>
      <c r="Z94" s="826"/>
      <c r="AA94" s="826"/>
      <c r="AB94" s="826"/>
      <c r="AC94" s="826"/>
      <c r="AE94" s="826" t="s">
        <v>621</v>
      </c>
      <c r="AF94" s="826"/>
      <c r="AG94" s="826"/>
      <c r="AH94" s="826"/>
      <c r="AI94" s="826"/>
      <c r="AJ94" s="307"/>
      <c r="AK94" s="826" t="s">
        <v>694</v>
      </c>
      <c r="AL94" s="826"/>
      <c r="AM94" s="826"/>
      <c r="AN94" s="588"/>
      <c r="AO94" s="826" t="s">
        <v>603</v>
      </c>
      <c r="AP94" s="826"/>
      <c r="AQ94" s="826"/>
      <c r="BF94" s="342"/>
      <c r="BH94" s="57"/>
      <c r="BN94" s="727" t="s">
        <v>625</v>
      </c>
      <c r="BO94" s="727"/>
      <c r="BP94" s="727"/>
      <c r="BQ94" s="727"/>
      <c r="BR94" s="727"/>
      <c r="BT94" s="727" t="s">
        <v>624</v>
      </c>
      <c r="BU94" s="727"/>
      <c r="BV94" s="727"/>
      <c r="BW94" s="727"/>
      <c r="BX94" s="727"/>
      <c r="BZ94" s="27"/>
    </row>
    <row r="95" spans="3:78" ht="30.75" customHeight="1" x14ac:dyDescent="0.25">
      <c r="F95" s="342"/>
      <c r="J95" s="826"/>
      <c r="K95" s="826"/>
      <c r="L95" s="826"/>
      <c r="M95" s="826"/>
      <c r="N95" s="826"/>
      <c r="P95" s="826"/>
      <c r="Q95" s="826"/>
      <c r="R95" s="826"/>
      <c r="S95" s="826"/>
      <c r="T95" s="826"/>
      <c r="U95" s="826"/>
      <c r="V95" s="826"/>
      <c r="W95" s="826"/>
      <c r="X95" s="131"/>
      <c r="Y95" s="826"/>
      <c r="Z95" s="826"/>
      <c r="AA95" s="826"/>
      <c r="AB95" s="826"/>
      <c r="AC95" s="826"/>
      <c r="AE95" s="826"/>
      <c r="AF95" s="826"/>
      <c r="AG95" s="826"/>
      <c r="AH95" s="826"/>
      <c r="AI95" s="826"/>
      <c r="AJ95" s="307"/>
      <c r="AK95" s="826"/>
      <c r="AL95" s="826"/>
      <c r="AM95" s="826"/>
      <c r="AN95" s="588"/>
      <c r="AO95" s="826"/>
      <c r="AP95" s="826"/>
      <c r="AQ95" s="826"/>
      <c r="BF95" s="342"/>
      <c r="BH95" s="57"/>
      <c r="BN95" s="724" t="str">
        <f>Paramètres!$G$6*100&amp;" % siccité"</f>
        <v>20 % siccité</v>
      </c>
      <c r="BO95" s="724"/>
      <c r="BP95" s="724"/>
      <c r="BQ95" s="724"/>
      <c r="BR95" s="724"/>
      <c r="BT95" s="724" t="str">
        <f>Paramètres!$G$6*100&amp;" % siccité"</f>
        <v>20 % siccité</v>
      </c>
      <c r="BU95" s="724"/>
      <c r="BV95" s="724"/>
      <c r="BW95" s="724"/>
      <c r="BX95" s="724"/>
      <c r="BZ95" s="27"/>
    </row>
    <row r="96" spans="3:78" ht="15" customHeight="1" x14ac:dyDescent="0.25">
      <c r="F96" s="342"/>
      <c r="J96" s="851"/>
      <c r="K96" s="816"/>
      <c r="L96" s="816"/>
      <c r="M96" s="816"/>
      <c r="N96" s="816"/>
      <c r="O96" s="28"/>
      <c r="P96" s="824"/>
      <c r="Q96" s="818"/>
      <c r="R96" s="818"/>
      <c r="S96" s="818"/>
      <c r="T96" s="818"/>
      <c r="U96" s="818"/>
      <c r="V96" s="818"/>
      <c r="W96" s="818"/>
      <c r="X96" s="28"/>
      <c r="Y96" s="825"/>
      <c r="Z96" s="825"/>
      <c r="AA96" s="825"/>
      <c r="AB96" s="825"/>
      <c r="AC96" s="825"/>
      <c r="AD96" s="28"/>
      <c r="AE96" s="819"/>
      <c r="AF96" s="819"/>
      <c r="AG96" s="819"/>
      <c r="AH96" s="819"/>
      <c r="AI96" s="819"/>
      <c r="AJ96" s="28"/>
      <c r="AK96" s="819"/>
      <c r="AL96" s="819"/>
      <c r="AM96" s="819"/>
      <c r="AN96" s="28"/>
      <c r="AO96" s="817" t="str">
        <f t="shared" ref="AO96:AO101" si="0">IF(AK96="","",1-AK96)</f>
        <v/>
      </c>
      <c r="AP96" s="817"/>
      <c r="AQ96" s="817"/>
      <c r="BF96" s="342"/>
      <c r="BH96" s="813">
        <f t="shared" ref="BH96:BH101" si="1">J96</f>
        <v>0</v>
      </c>
      <c r="BI96" s="814"/>
      <c r="BJ96" s="814"/>
      <c r="BK96" s="814"/>
      <c r="BL96" s="814"/>
      <c r="BN96" s="697">
        <f>IF(OR(COUNTBLANK(Y96:AM96)=15,Y96=0),0,IF(OR(COUNTBLANK(Y96:AM96)=13,COUNTBLANK(Y96:AM96)=14),N.D.,((Y96*AE96)*AK96)/Paramètres!$G$6))</f>
        <v>0</v>
      </c>
      <c r="BO96" s="697"/>
      <c r="BP96" s="697"/>
      <c r="BQ96" s="697"/>
      <c r="BR96" s="697"/>
      <c r="BT96" s="697">
        <f>IF(OR(COUNTBLANK(Y96:AM96)=15,Y96=0),0,IF(OR(COUNTBLANK(Y96:AM96)=13,COUNTBLANK(Y96:AM96)=14),N.D.,((Y96*AE96)*AO96)/Paramètres!$G$6))</f>
        <v>0</v>
      </c>
      <c r="BU96" s="697"/>
      <c r="BV96" s="697"/>
      <c r="BW96" s="697"/>
      <c r="BX96" s="697"/>
      <c r="BZ96" s="27"/>
    </row>
    <row r="97" spans="3:78" ht="15" customHeight="1" x14ac:dyDescent="0.25">
      <c r="F97" s="342"/>
      <c r="J97" s="815"/>
      <c r="K97" s="816"/>
      <c r="L97" s="816"/>
      <c r="M97" s="816"/>
      <c r="N97" s="816"/>
      <c r="O97" s="28"/>
      <c r="P97" s="824"/>
      <c r="Q97" s="818"/>
      <c r="R97" s="818"/>
      <c r="S97" s="818"/>
      <c r="T97" s="818"/>
      <c r="U97" s="818"/>
      <c r="V97" s="818"/>
      <c r="W97" s="818"/>
      <c r="X97" s="28"/>
      <c r="Y97" s="825"/>
      <c r="Z97" s="825"/>
      <c r="AA97" s="825"/>
      <c r="AB97" s="825"/>
      <c r="AC97" s="825"/>
      <c r="AD97" s="28"/>
      <c r="AE97" s="819"/>
      <c r="AF97" s="819"/>
      <c r="AG97" s="819"/>
      <c r="AH97" s="819"/>
      <c r="AI97" s="819"/>
      <c r="AJ97" s="28"/>
      <c r="AK97" s="819"/>
      <c r="AL97" s="819"/>
      <c r="AM97" s="819"/>
      <c r="AN97" s="28"/>
      <c r="AO97" s="817" t="str">
        <f t="shared" si="0"/>
        <v/>
      </c>
      <c r="AP97" s="817"/>
      <c r="AQ97" s="817"/>
      <c r="BF97" s="342"/>
      <c r="BH97" s="748">
        <f t="shared" si="1"/>
        <v>0</v>
      </c>
      <c r="BI97" s="749"/>
      <c r="BJ97" s="749"/>
      <c r="BK97" s="749"/>
      <c r="BL97" s="749"/>
      <c r="BN97" s="697">
        <f>IF(OR(COUNTBLANK(Y97:AM97)=15,Y97=0),0,IF(OR(COUNTBLANK(Y97:AM97)=13,COUNTBLANK(Y97:AM97)=14),N.D.,((Y97*AE97)*AK97)/Paramètres!$G$6))</f>
        <v>0</v>
      </c>
      <c r="BO97" s="697"/>
      <c r="BP97" s="697"/>
      <c r="BQ97" s="697"/>
      <c r="BR97" s="697"/>
      <c r="BT97" s="697">
        <f>IF(OR(COUNTBLANK(Y97:AM97)=15,Y97=0),0,IF(OR(COUNTBLANK(Y97:AM97)=13,COUNTBLANK(Y97:AM97)=14),N.D.,((Y97*AE97)*AO97)/Paramètres!$G$6))</f>
        <v>0</v>
      </c>
      <c r="BU97" s="697"/>
      <c r="BV97" s="697"/>
      <c r="BW97" s="697"/>
      <c r="BX97" s="697"/>
      <c r="BZ97" s="27"/>
    </row>
    <row r="98" spans="3:78" ht="15" customHeight="1" x14ac:dyDescent="0.25">
      <c r="F98" s="342"/>
      <c r="J98" s="815"/>
      <c r="K98" s="816"/>
      <c r="L98" s="816"/>
      <c r="M98" s="816"/>
      <c r="N98" s="816"/>
      <c r="O98" s="28"/>
      <c r="P98" s="824"/>
      <c r="Q98" s="818"/>
      <c r="R98" s="818"/>
      <c r="S98" s="818"/>
      <c r="T98" s="818"/>
      <c r="U98" s="818"/>
      <c r="V98" s="818"/>
      <c r="W98" s="818"/>
      <c r="X98" s="28"/>
      <c r="Y98" s="825"/>
      <c r="Z98" s="825"/>
      <c r="AA98" s="825"/>
      <c r="AB98" s="825"/>
      <c r="AC98" s="825"/>
      <c r="AD98" s="28"/>
      <c r="AE98" s="819"/>
      <c r="AF98" s="819"/>
      <c r="AG98" s="819"/>
      <c r="AH98" s="819"/>
      <c r="AI98" s="819"/>
      <c r="AJ98" s="28"/>
      <c r="AK98" s="819"/>
      <c r="AL98" s="819"/>
      <c r="AM98" s="819"/>
      <c r="AN98" s="28"/>
      <c r="AO98" s="817" t="str">
        <f t="shared" si="0"/>
        <v/>
      </c>
      <c r="AP98" s="817"/>
      <c r="AQ98" s="817"/>
      <c r="BF98" s="342"/>
      <c r="BH98" s="748">
        <f t="shared" si="1"/>
        <v>0</v>
      </c>
      <c r="BI98" s="749"/>
      <c r="BJ98" s="749"/>
      <c r="BK98" s="749"/>
      <c r="BL98" s="749"/>
      <c r="BN98" s="697">
        <f>IF(OR(COUNTBLANK(Y98:AM98)=15,Y98=0),0,IF(OR(COUNTBLANK(Y98:AM98)=13,COUNTBLANK(Y98:AM98)=14),N.D.,((Y98*AE98)*AK98)/Paramètres!$G$6))</f>
        <v>0</v>
      </c>
      <c r="BO98" s="697"/>
      <c r="BP98" s="697"/>
      <c r="BQ98" s="697"/>
      <c r="BR98" s="697"/>
      <c r="BT98" s="697">
        <f>IF(OR(COUNTBLANK(Y98:AM98)=15,Y98=0),0,IF(OR(COUNTBLANK(Y98:AM98)=13,COUNTBLANK(Y98:AM98)=14),N.D.,((Y98*AE98)*AO98)/Paramètres!$G$6))</f>
        <v>0</v>
      </c>
      <c r="BU98" s="697"/>
      <c r="BV98" s="697"/>
      <c r="BW98" s="697"/>
      <c r="BX98" s="697"/>
      <c r="BZ98" s="27"/>
    </row>
    <row r="99" spans="3:78" ht="15" customHeight="1" x14ac:dyDescent="0.25">
      <c r="F99" s="342"/>
      <c r="J99" s="815"/>
      <c r="K99" s="816"/>
      <c r="L99" s="816"/>
      <c r="M99" s="816"/>
      <c r="N99" s="816"/>
      <c r="O99" s="28"/>
      <c r="P99" s="824"/>
      <c r="Q99" s="818"/>
      <c r="R99" s="818"/>
      <c r="S99" s="818"/>
      <c r="T99" s="818"/>
      <c r="U99" s="818"/>
      <c r="V99" s="818"/>
      <c r="W99" s="818"/>
      <c r="X99" s="28"/>
      <c r="Y99" s="825"/>
      <c r="Z99" s="825"/>
      <c r="AA99" s="825"/>
      <c r="AB99" s="825"/>
      <c r="AC99" s="825"/>
      <c r="AD99" s="28"/>
      <c r="AE99" s="819"/>
      <c r="AF99" s="819"/>
      <c r="AG99" s="819"/>
      <c r="AH99" s="819"/>
      <c r="AI99" s="819"/>
      <c r="AJ99" s="28"/>
      <c r="AK99" s="819"/>
      <c r="AL99" s="819"/>
      <c r="AM99" s="819"/>
      <c r="AN99" s="28"/>
      <c r="AO99" s="817" t="str">
        <f t="shared" si="0"/>
        <v/>
      </c>
      <c r="AP99" s="817"/>
      <c r="AQ99" s="817"/>
      <c r="BF99" s="342"/>
      <c r="BH99" s="748">
        <f t="shared" si="1"/>
        <v>0</v>
      </c>
      <c r="BI99" s="749"/>
      <c r="BJ99" s="749"/>
      <c r="BK99" s="749"/>
      <c r="BL99" s="749"/>
      <c r="BN99" s="697">
        <f>IF(OR(COUNTBLANK(Y99:AM99)=15,Y99=0),0,IF(OR(COUNTBLANK(Y99:AM99)=13,COUNTBLANK(Y99:AM99)=14),N.D.,((Y99*AE99)*AK99)/Paramètres!$G$6))</f>
        <v>0</v>
      </c>
      <c r="BO99" s="697"/>
      <c r="BP99" s="697"/>
      <c r="BQ99" s="697"/>
      <c r="BR99" s="697"/>
      <c r="BT99" s="697">
        <f>IF(OR(COUNTBLANK(Y99:AM99)=15,Y99=0),0,IF(OR(COUNTBLANK(Y99:AM99)=13,COUNTBLANK(Y99:AM99)=14),N.D.,((Y99*AE99)*AO99)/Paramètres!$G$6))</f>
        <v>0</v>
      </c>
      <c r="BU99" s="697"/>
      <c r="BV99" s="697"/>
      <c r="BW99" s="697"/>
      <c r="BX99" s="697"/>
      <c r="BZ99" s="27"/>
    </row>
    <row r="100" spans="3:78" ht="15" customHeight="1" x14ac:dyDescent="0.25">
      <c r="F100" s="342"/>
      <c r="J100" s="815"/>
      <c r="K100" s="816"/>
      <c r="L100" s="816"/>
      <c r="M100" s="816"/>
      <c r="N100" s="816"/>
      <c r="O100" s="28"/>
      <c r="P100" s="824"/>
      <c r="Q100" s="818"/>
      <c r="R100" s="818"/>
      <c r="S100" s="818"/>
      <c r="T100" s="818"/>
      <c r="U100" s="818"/>
      <c r="V100" s="818"/>
      <c r="W100" s="818"/>
      <c r="X100" s="28"/>
      <c r="Y100" s="825"/>
      <c r="Z100" s="825"/>
      <c r="AA100" s="825"/>
      <c r="AB100" s="825"/>
      <c r="AC100" s="825"/>
      <c r="AD100" s="28"/>
      <c r="AE100" s="819"/>
      <c r="AF100" s="819"/>
      <c r="AG100" s="819"/>
      <c r="AH100" s="819"/>
      <c r="AI100" s="819"/>
      <c r="AJ100" s="28"/>
      <c r="AK100" s="819"/>
      <c r="AL100" s="819"/>
      <c r="AM100" s="819"/>
      <c r="AN100" s="28"/>
      <c r="AO100" s="817" t="str">
        <f t="shared" si="0"/>
        <v/>
      </c>
      <c r="AP100" s="817"/>
      <c r="AQ100" s="817"/>
      <c r="BF100" s="342"/>
      <c r="BH100" s="748">
        <f t="shared" si="1"/>
        <v>0</v>
      </c>
      <c r="BI100" s="749"/>
      <c r="BJ100" s="749"/>
      <c r="BK100" s="749"/>
      <c r="BL100" s="749"/>
      <c r="BN100" s="697">
        <f>IF(OR(COUNTBLANK(Y100:AM100)=15,Y100=0),0,IF(OR(COUNTBLANK(Y100:AM100)=13,COUNTBLANK(Y100:AM100)=14),N.D.,((Y100*AE100)*AK100)/Paramètres!$G$6))</f>
        <v>0</v>
      </c>
      <c r="BO100" s="697"/>
      <c r="BP100" s="697"/>
      <c r="BQ100" s="697"/>
      <c r="BR100" s="697"/>
      <c r="BT100" s="697">
        <f>IF(OR(COUNTBLANK(Y100:AM100)=15,Y100=0),0,IF(OR(COUNTBLANK(Y100:AM100)=13,COUNTBLANK(Y100:AM100)=14),N.D.,((Y100*AE100)*AO100)/Paramètres!$G$6))</f>
        <v>0</v>
      </c>
      <c r="BU100" s="697"/>
      <c r="BV100" s="697"/>
      <c r="BW100" s="697"/>
      <c r="BX100" s="697"/>
      <c r="BZ100" s="27"/>
    </row>
    <row r="101" spans="3:78" ht="15" customHeight="1" x14ac:dyDescent="0.25">
      <c r="F101" s="342"/>
      <c r="J101" s="815"/>
      <c r="K101" s="816"/>
      <c r="L101" s="816"/>
      <c r="M101" s="816"/>
      <c r="N101" s="816"/>
      <c r="O101" s="28"/>
      <c r="P101" s="824"/>
      <c r="Q101" s="818"/>
      <c r="R101" s="818"/>
      <c r="S101" s="818"/>
      <c r="T101" s="818"/>
      <c r="U101" s="818"/>
      <c r="V101" s="818"/>
      <c r="W101" s="818"/>
      <c r="X101" s="28"/>
      <c r="Y101" s="825"/>
      <c r="Z101" s="825"/>
      <c r="AA101" s="825"/>
      <c r="AB101" s="825"/>
      <c r="AC101" s="825"/>
      <c r="AD101" s="28"/>
      <c r="AE101" s="819"/>
      <c r="AF101" s="819"/>
      <c r="AG101" s="819"/>
      <c r="AH101" s="819"/>
      <c r="AI101" s="819"/>
      <c r="AJ101" s="28"/>
      <c r="AK101" s="819"/>
      <c r="AL101" s="819"/>
      <c r="AM101" s="819"/>
      <c r="AN101" s="28"/>
      <c r="AO101" s="817" t="str">
        <f t="shared" si="0"/>
        <v/>
      </c>
      <c r="AP101" s="817"/>
      <c r="AQ101" s="817"/>
      <c r="BF101" s="342"/>
      <c r="BH101" s="748">
        <f t="shared" si="1"/>
        <v>0</v>
      </c>
      <c r="BI101" s="749"/>
      <c r="BJ101" s="749"/>
      <c r="BK101" s="749"/>
      <c r="BL101" s="749"/>
      <c r="BN101" s="697">
        <f>IF(OR(COUNTBLANK(Y101:AM101)=15,Y101=0),0,IF(OR(COUNTBLANK(Y101:AM101)=13,COUNTBLANK(Y101:AM101)=14),N.D.,((Y101*AE101)*AK101)/Paramètres!$G$6))</f>
        <v>0</v>
      </c>
      <c r="BO101" s="697"/>
      <c r="BP101" s="697"/>
      <c r="BQ101" s="697"/>
      <c r="BR101" s="697"/>
      <c r="BT101" s="697">
        <f>IF(OR(COUNTBLANK(Y101:AM101)=15,Y101=0),0,IF(OR(COUNTBLANK(Y101:AM101)=13,COUNTBLANK(Y101:AM101)=14),N.D.,((Y101*AE101)*AO101)/Paramètres!$G$6))</f>
        <v>0</v>
      </c>
      <c r="BU101" s="697"/>
      <c r="BV101" s="697"/>
      <c r="BW101" s="697"/>
      <c r="BX101" s="697"/>
      <c r="BZ101" s="27"/>
    </row>
    <row r="102" spans="3:78" ht="15" customHeight="1" x14ac:dyDescent="0.25">
      <c r="F102" s="342"/>
      <c r="AK102" s="131"/>
      <c r="AL102" s="131"/>
      <c r="AM102" s="131"/>
      <c r="AN102" s="131"/>
      <c r="AO102" s="131"/>
      <c r="BF102" s="342"/>
      <c r="BH102" s="57"/>
      <c r="BZ102" s="27"/>
    </row>
    <row r="103" spans="3:78" ht="15" customHeight="1" x14ac:dyDescent="0.25">
      <c r="F103" s="342"/>
      <c r="I103" s="378"/>
      <c r="J103" s="379"/>
      <c r="K103" s="16" t="str">
        <f>puce1</f>
        <v>Ä</v>
      </c>
      <c r="L103" s="827" t="s">
        <v>708</v>
      </c>
      <c r="M103" s="827"/>
      <c r="N103" s="827"/>
      <c r="O103" s="827"/>
      <c r="P103" s="827"/>
      <c r="Q103" s="827"/>
      <c r="R103" s="827"/>
      <c r="S103" s="827"/>
      <c r="T103" s="827"/>
      <c r="U103" s="827"/>
      <c r="V103" s="827"/>
      <c r="W103" s="827"/>
      <c r="X103" s="827"/>
      <c r="Y103" s="827"/>
      <c r="Z103" s="827"/>
      <c r="AA103" s="827"/>
      <c r="AB103" s="827"/>
      <c r="AC103" s="827"/>
      <c r="AD103" s="827"/>
      <c r="AE103" s="828"/>
      <c r="AF103" s="828"/>
      <c r="AG103" s="828"/>
      <c r="AH103" s="378"/>
      <c r="AI103" s="380"/>
      <c r="AJ103" s="380"/>
      <c r="AK103" s="380"/>
      <c r="AL103" s="380"/>
      <c r="AM103" s="380"/>
      <c r="AN103" s="380"/>
      <c r="BF103" s="342"/>
      <c r="BH103" s="692" t="s">
        <v>276</v>
      </c>
      <c r="BI103" s="693"/>
      <c r="BJ103" s="693"/>
      <c r="BK103" s="693"/>
      <c r="BL103" s="693"/>
      <c r="BM103" s="189"/>
      <c r="BN103" s="697" t="str">
        <f>IF($Y$90="Non",0,IF(AND(Y90&lt;&gt;"Non", COUNTBLANK(Y96:AM101)=90),N.D.,IF(COUNTIF(BN96:BN101,N.D.)&gt;0,N.D.,SUM(BN96:BN101))))</f>
        <v>N.D.</v>
      </c>
      <c r="BO103" s="697"/>
      <c r="BP103" s="697"/>
      <c r="BQ103" s="697"/>
      <c r="BR103" s="697"/>
      <c r="BT103" s="697" t="str">
        <f>IF($Y$90="Non",0,IF(AND(Y90&lt;&gt;"Non", COUNTBLANK(Y96:AM101)=90),N.D.,IF(COUNTIF(BT96:BT101,N.D.)&gt;0,N.D.,SUM(BT96:BT101))))</f>
        <v>N.D.</v>
      </c>
      <c r="BU103" s="697"/>
      <c r="BV103" s="697"/>
      <c r="BW103" s="697"/>
      <c r="BX103" s="697"/>
      <c r="BZ103" s="27"/>
    </row>
    <row r="104" spans="3:78" ht="15" customHeight="1" x14ac:dyDescent="0.25">
      <c r="F104" s="342"/>
      <c r="I104" s="378"/>
      <c r="J104" s="379"/>
      <c r="K104" s="16"/>
      <c r="L104" s="827"/>
      <c r="M104" s="827"/>
      <c r="N104" s="827"/>
      <c r="O104" s="827"/>
      <c r="P104" s="827"/>
      <c r="Q104" s="827"/>
      <c r="R104" s="827"/>
      <c r="S104" s="827"/>
      <c r="T104" s="827"/>
      <c r="U104" s="827"/>
      <c r="V104" s="827"/>
      <c r="W104" s="827"/>
      <c r="X104" s="827"/>
      <c r="Y104" s="827"/>
      <c r="Z104" s="827"/>
      <c r="AA104" s="827"/>
      <c r="AB104" s="827"/>
      <c r="AC104" s="827"/>
      <c r="AD104" s="827"/>
      <c r="AE104" s="381"/>
      <c r="AF104" s="381"/>
      <c r="AG104" s="378"/>
      <c r="AH104" s="378"/>
      <c r="AI104" s="380"/>
      <c r="AJ104" s="380"/>
      <c r="AK104" s="380"/>
      <c r="AL104" s="380"/>
      <c r="AM104" s="380"/>
      <c r="AN104" s="380"/>
      <c r="BF104" s="342"/>
      <c r="BH104" s="338"/>
      <c r="BI104" s="143"/>
      <c r="BJ104" s="143"/>
      <c r="BK104" s="143"/>
      <c r="BL104" s="143"/>
      <c r="BM104" s="189"/>
      <c r="BZ104" s="27"/>
    </row>
    <row r="105" spans="3:78" ht="6" customHeight="1" x14ac:dyDescent="0.25">
      <c r="F105" s="342"/>
      <c r="I105" s="378"/>
      <c r="J105" s="348"/>
      <c r="K105" s="348"/>
      <c r="L105" s="348"/>
      <c r="M105" s="382"/>
      <c r="N105" s="358"/>
      <c r="O105" s="358"/>
      <c r="P105" s="358"/>
      <c r="Q105" s="358"/>
      <c r="R105" s="358"/>
      <c r="S105" s="358"/>
      <c r="T105" s="358"/>
      <c r="U105" s="358"/>
      <c r="V105" s="358"/>
      <c r="W105" s="358"/>
      <c r="X105" s="358"/>
      <c r="Y105" s="358"/>
      <c r="Z105" s="358"/>
      <c r="AA105" s="358"/>
      <c r="AB105" s="358"/>
      <c r="AC105" s="358"/>
      <c r="AD105" s="358"/>
      <c r="AE105" s="358"/>
      <c r="AF105" s="358"/>
      <c r="BF105" s="342"/>
      <c r="BH105" s="57"/>
      <c r="BZ105" s="27"/>
    </row>
    <row r="106" spans="3:78" ht="15" customHeight="1" x14ac:dyDescent="0.25">
      <c r="F106" s="342"/>
      <c r="I106" s="378"/>
      <c r="L106" s="811" t="str">
        <f>IF(AE103="oui",txt_pour_info,"")</f>
        <v/>
      </c>
      <c r="M106" s="811"/>
      <c r="N106" s="811"/>
      <c r="O106" s="811"/>
      <c r="P106" s="811"/>
      <c r="Q106" s="811"/>
      <c r="R106" s="811"/>
      <c r="S106" s="811"/>
      <c r="T106" s="811"/>
      <c r="U106" s="811"/>
      <c r="V106" s="811"/>
      <c r="W106" s="811"/>
      <c r="X106" s="811"/>
      <c r="Y106" s="811"/>
      <c r="Z106" s="811"/>
      <c r="AA106" s="811"/>
      <c r="AB106" s="811"/>
      <c r="AC106" s="811"/>
      <c r="AD106" s="811"/>
      <c r="AE106" s="811"/>
      <c r="AF106" s="811"/>
      <c r="AG106" s="811"/>
      <c r="AH106" s="811"/>
      <c r="AI106" s="811"/>
      <c r="AJ106" s="811"/>
      <c r="AK106" s="811"/>
      <c r="AL106" s="811"/>
      <c r="AM106" s="811"/>
      <c r="AN106" s="811"/>
      <c r="AO106" s="811"/>
      <c r="BF106" s="342"/>
      <c r="BH106" s="57"/>
      <c r="BZ106" s="27"/>
    </row>
    <row r="107" spans="3:78" ht="15" customHeight="1" thickBot="1" x14ac:dyDescent="0.3">
      <c r="F107" s="342"/>
      <c r="M107" s="382"/>
      <c r="BF107" s="342"/>
      <c r="BH107" s="321"/>
      <c r="BI107" s="322"/>
      <c r="BJ107" s="322"/>
      <c r="BK107" s="322"/>
      <c r="BL107" s="322"/>
      <c r="BM107" s="322"/>
      <c r="BN107" s="322"/>
      <c r="BO107" s="322"/>
      <c r="BP107" s="322"/>
      <c r="BQ107" s="322"/>
      <c r="BR107" s="322"/>
      <c r="BS107" s="322"/>
      <c r="BT107" s="322"/>
      <c r="BU107" s="322"/>
      <c r="BV107" s="322"/>
      <c r="BW107" s="322"/>
      <c r="BX107" s="322"/>
      <c r="BY107" s="322"/>
      <c r="BZ107" s="323"/>
    </row>
    <row r="108" spans="3:78" ht="15" customHeight="1" x14ac:dyDescent="0.25">
      <c r="C108" s="73" t="str">
        <f>$C$84&amp;".2"</f>
        <v>4.2</v>
      </c>
      <c r="D108" s="73"/>
      <c r="E108" s="21"/>
      <c r="F108" s="342"/>
      <c r="G108" s="19"/>
      <c r="H108" s="19"/>
      <c r="I108" s="19"/>
      <c r="J108" s="77" t="str">
        <f>CONCATENATE($B$2,".",$C108,".")</f>
        <v>2.4.2.</v>
      </c>
      <c r="K108" s="820" t="s">
        <v>562</v>
      </c>
      <c r="L108" s="733"/>
      <c r="M108" s="733"/>
      <c r="N108" s="733"/>
      <c r="O108" s="733"/>
      <c r="P108" s="733"/>
      <c r="Q108" s="733"/>
      <c r="R108" s="733"/>
      <c r="S108" s="733"/>
      <c r="T108" s="733"/>
      <c r="U108" s="733"/>
      <c r="V108" s="733"/>
      <c r="W108" s="733"/>
      <c r="X108" s="733"/>
      <c r="Y108" s="733"/>
      <c r="Z108" s="733"/>
      <c r="AA108" s="733"/>
      <c r="AB108" s="733"/>
      <c r="BF108" s="342"/>
    </row>
    <row r="109" spans="3:78" ht="15" customHeight="1" x14ac:dyDescent="0.25">
      <c r="F109" s="342"/>
      <c r="BF109" s="342"/>
    </row>
    <row r="110" spans="3:78" ht="15" customHeight="1" x14ac:dyDescent="0.25">
      <c r="D110" s="73" t="str">
        <f>$C$108&amp;".1"</f>
        <v>4.2.1</v>
      </c>
      <c r="E110" s="21"/>
      <c r="F110" s="342"/>
      <c r="G110" s="19"/>
      <c r="H110" s="19"/>
      <c r="I110" s="19"/>
      <c r="J110" s="350" t="str">
        <f>CONCATENATE($B$2,".",$D110,".")</f>
        <v>2.4.2.1.</v>
      </c>
      <c r="K110" s="491" t="s">
        <v>741</v>
      </c>
      <c r="L110" s="491"/>
      <c r="M110" s="491"/>
      <c r="N110" s="491"/>
      <c r="O110" s="491"/>
      <c r="P110" s="491"/>
      <c r="Q110" s="491"/>
      <c r="R110" s="491"/>
      <c r="S110" s="491"/>
      <c r="T110" s="491"/>
      <c r="U110" s="491"/>
      <c r="V110" s="491"/>
      <c r="AC110" s="822"/>
      <c r="AD110" s="822"/>
      <c r="AE110" s="822"/>
      <c r="BF110" s="342"/>
    </row>
    <row r="111" spans="3:78" ht="15" customHeight="1" x14ac:dyDescent="0.25">
      <c r="D111" s="73"/>
      <c r="E111" s="21"/>
      <c r="F111" s="342"/>
      <c r="G111" s="19"/>
      <c r="H111" s="19"/>
      <c r="I111" s="19"/>
      <c r="J111" s="350"/>
      <c r="K111" s="491"/>
      <c r="L111" s="491"/>
      <c r="M111" s="491"/>
      <c r="N111" s="491"/>
      <c r="O111" s="491"/>
      <c r="P111" s="491"/>
      <c r="Q111" s="491"/>
      <c r="R111" s="491"/>
      <c r="S111" s="491"/>
      <c r="T111" s="491"/>
      <c r="U111" s="491"/>
      <c r="V111" s="491"/>
      <c r="AC111" s="590"/>
      <c r="AD111" s="590"/>
      <c r="AE111" s="590"/>
      <c r="BF111" s="342"/>
    </row>
    <row r="112" spans="3:78" ht="15" customHeight="1" thickBot="1" x14ac:dyDescent="0.3">
      <c r="D112" s="73"/>
      <c r="E112" s="21"/>
      <c r="F112" s="342"/>
      <c r="G112" s="19"/>
      <c r="H112" s="19"/>
      <c r="I112" s="829" t="s">
        <v>783</v>
      </c>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K112" s="830"/>
      <c r="AL112" s="830"/>
      <c r="AM112" s="830"/>
      <c r="AN112" s="830"/>
      <c r="AO112" s="830"/>
      <c r="AP112" s="830"/>
      <c r="AQ112" s="830"/>
      <c r="AR112" s="830"/>
      <c r="AS112" s="830"/>
      <c r="AT112" s="830"/>
      <c r="AU112" s="830"/>
      <c r="AV112" s="830"/>
      <c r="AW112" s="830"/>
      <c r="AX112" s="830"/>
      <c r="AY112" s="830"/>
      <c r="AZ112" s="830"/>
      <c r="BA112" s="830"/>
      <c r="BB112" s="830"/>
      <c r="BC112" s="830"/>
      <c r="BD112" s="830"/>
      <c r="BE112" s="831"/>
      <c r="BF112" s="342"/>
    </row>
    <row r="113" spans="4:88" ht="15" customHeight="1" x14ac:dyDescent="0.25">
      <c r="F113" s="342"/>
      <c r="BF113" s="342"/>
      <c r="BH113" s="319"/>
      <c r="BI113" s="377"/>
      <c r="BJ113" s="377"/>
      <c r="BK113" s="377"/>
      <c r="BL113" s="377"/>
      <c r="BM113" s="377"/>
      <c r="BN113" s="377"/>
      <c r="BO113" s="377"/>
      <c r="BP113" s="377"/>
      <c r="BQ113" s="377"/>
      <c r="BR113" s="377"/>
      <c r="BS113" s="377"/>
      <c r="BT113" s="377"/>
      <c r="BU113" s="377"/>
      <c r="BV113" s="377"/>
      <c r="BW113" s="377"/>
      <c r="BX113" s="377"/>
      <c r="BY113" s="377"/>
      <c r="BZ113" s="320"/>
    </row>
    <row r="114" spans="4:88" ht="20.25" customHeight="1" x14ac:dyDescent="0.25">
      <c r="F114" s="342"/>
      <c r="J114" s="826" t="s">
        <v>770</v>
      </c>
      <c r="K114" s="826"/>
      <c r="L114" s="826"/>
      <c r="M114" s="826"/>
      <c r="N114" s="826"/>
      <c r="O114" s="589"/>
      <c r="P114" s="826" t="s">
        <v>768</v>
      </c>
      <c r="Q114" s="826"/>
      <c r="R114" s="826"/>
      <c r="S114" s="826"/>
      <c r="T114" s="826"/>
      <c r="U114" s="826"/>
      <c r="V114" s="826"/>
      <c r="W114" s="826"/>
      <c r="X114" s="588"/>
      <c r="Y114" s="826" t="s">
        <v>779</v>
      </c>
      <c r="Z114" s="826"/>
      <c r="AA114" s="826"/>
      <c r="AB114" s="826"/>
      <c r="AC114" s="826"/>
      <c r="AD114" s="307"/>
      <c r="AE114" s="826" t="s">
        <v>621</v>
      </c>
      <c r="AF114" s="826"/>
      <c r="AG114" s="826"/>
      <c r="AH114" s="826"/>
      <c r="AI114" s="826"/>
      <c r="AJ114" s="307"/>
      <c r="AK114" s="826" t="s">
        <v>694</v>
      </c>
      <c r="AL114" s="826"/>
      <c r="AM114" s="826"/>
      <c r="AN114" s="588"/>
      <c r="AO114" s="826" t="s">
        <v>603</v>
      </c>
      <c r="AP114" s="826"/>
      <c r="AQ114" s="826"/>
      <c r="BF114" s="342"/>
      <c r="BH114" s="57"/>
      <c r="BN114" s="727" t="s">
        <v>625</v>
      </c>
      <c r="BO114" s="727"/>
      <c r="BP114" s="727"/>
      <c r="BQ114" s="727"/>
      <c r="BR114" s="727"/>
      <c r="BT114" s="727" t="s">
        <v>624</v>
      </c>
      <c r="BU114" s="727"/>
      <c r="BV114" s="727"/>
      <c r="BW114" s="727"/>
      <c r="BX114" s="727"/>
      <c r="BZ114" s="27"/>
      <c r="CB114" s="26"/>
      <c r="CC114" s="26"/>
      <c r="CD114" s="26"/>
      <c r="CE114" s="26"/>
      <c r="CF114" s="26"/>
      <c r="CH114" s="26"/>
      <c r="CI114" s="26"/>
      <c r="CJ114" s="26"/>
    </row>
    <row r="115" spans="4:88" ht="23.25" customHeight="1" x14ac:dyDescent="0.25">
      <c r="F115" s="342"/>
      <c r="J115" s="826"/>
      <c r="K115" s="826"/>
      <c r="L115" s="826"/>
      <c r="M115" s="826"/>
      <c r="N115" s="826"/>
      <c r="O115" s="307"/>
      <c r="P115" s="826"/>
      <c r="Q115" s="826"/>
      <c r="R115" s="826"/>
      <c r="S115" s="826"/>
      <c r="T115" s="826"/>
      <c r="U115" s="826"/>
      <c r="V115" s="826"/>
      <c r="W115" s="826"/>
      <c r="X115" s="588"/>
      <c r="Y115" s="826"/>
      <c r="Z115" s="826"/>
      <c r="AA115" s="826"/>
      <c r="AB115" s="826"/>
      <c r="AC115" s="826"/>
      <c r="AD115" s="307"/>
      <c r="AE115" s="826"/>
      <c r="AF115" s="826"/>
      <c r="AG115" s="826"/>
      <c r="AH115" s="826"/>
      <c r="AI115" s="826"/>
      <c r="AJ115" s="307"/>
      <c r="AK115" s="826"/>
      <c r="AL115" s="826"/>
      <c r="AM115" s="826"/>
      <c r="AN115" s="588"/>
      <c r="AO115" s="826"/>
      <c r="AP115" s="826"/>
      <c r="AQ115" s="826"/>
      <c r="BF115" s="342"/>
      <c r="BH115" s="57"/>
      <c r="BN115" s="724" t="str">
        <f>Paramètres!$G$6*100&amp;" % siccité"</f>
        <v>20 % siccité</v>
      </c>
      <c r="BO115" s="724"/>
      <c r="BP115" s="724"/>
      <c r="BQ115" s="724"/>
      <c r="BR115" s="724"/>
      <c r="BT115" s="724" t="str">
        <f>Paramètres!$G$6*100&amp;" % siccité"</f>
        <v>20 % siccité</v>
      </c>
      <c r="BU115" s="724"/>
      <c r="BV115" s="724"/>
      <c r="BW115" s="724"/>
      <c r="BX115" s="724"/>
      <c r="BZ115" s="27"/>
    </row>
    <row r="116" spans="4:88" ht="15" customHeight="1" x14ac:dyDescent="0.25">
      <c r="F116" s="342"/>
      <c r="J116" s="815"/>
      <c r="K116" s="816"/>
      <c r="L116" s="816"/>
      <c r="M116" s="816"/>
      <c r="N116" s="816"/>
      <c r="O116" s="28"/>
      <c r="P116" s="824"/>
      <c r="Q116" s="818"/>
      <c r="R116" s="818"/>
      <c r="S116" s="818"/>
      <c r="T116" s="818"/>
      <c r="U116" s="818"/>
      <c r="V116" s="818"/>
      <c r="W116" s="818"/>
      <c r="X116" s="28"/>
      <c r="Y116" s="825"/>
      <c r="Z116" s="825"/>
      <c r="AA116" s="825"/>
      <c r="AB116" s="825"/>
      <c r="AC116" s="825"/>
      <c r="AD116" s="28"/>
      <c r="AE116" s="819"/>
      <c r="AF116" s="819"/>
      <c r="AG116" s="819"/>
      <c r="AH116" s="819"/>
      <c r="AI116" s="819"/>
      <c r="AJ116" s="28"/>
      <c r="AK116" s="819"/>
      <c r="AL116" s="819"/>
      <c r="AM116" s="819"/>
      <c r="AN116" s="28"/>
      <c r="AO116" s="817" t="str">
        <f t="shared" ref="AO116:AO121" si="2">IF(AK116="","",1-AK116)</f>
        <v/>
      </c>
      <c r="AP116" s="817"/>
      <c r="AQ116" s="817"/>
      <c r="BF116" s="342"/>
      <c r="BH116" s="813">
        <f t="shared" ref="BH116:BH121" si="3">J116</f>
        <v>0</v>
      </c>
      <c r="BI116" s="814"/>
      <c r="BJ116" s="814"/>
      <c r="BK116" s="814"/>
      <c r="BL116" s="814"/>
      <c r="BN116" s="697">
        <f>IF(OR(COUNTBLANK(Y116:AM116)=15,Y116=0),0,IF(OR(COUNTBLANK(Y116:AM116)=13,COUNTBLANK(Y116:AM116)=14),N.D.,((Y116*AE116)*AK116)/Paramètres!$G$6))</f>
        <v>0</v>
      </c>
      <c r="BO116" s="697"/>
      <c r="BP116" s="697"/>
      <c r="BQ116" s="697"/>
      <c r="BR116" s="697"/>
      <c r="BT116" s="697">
        <f>IF(OR(COUNTBLANK(Y116:AM116)=15,Y116=0),0,IF(OR(COUNTBLANK(Y116:AM116)=13,COUNTBLANK(Y116:AM116)=14),N.D.,((Y116*AE116)*AO116)/Paramètres!$G$6))</f>
        <v>0</v>
      </c>
      <c r="BU116" s="697"/>
      <c r="BV116" s="697"/>
      <c r="BW116" s="697"/>
      <c r="BX116" s="697"/>
      <c r="BZ116" s="27"/>
      <c r="CB116" s="383"/>
      <c r="CC116" s="383"/>
      <c r="CD116" s="383"/>
      <c r="CE116" s="383"/>
      <c r="CF116" s="383"/>
    </row>
    <row r="117" spans="4:88" ht="15" customHeight="1" x14ac:dyDescent="0.25">
      <c r="F117" s="342"/>
      <c r="J117" s="815"/>
      <c r="K117" s="816"/>
      <c r="L117" s="816"/>
      <c r="M117" s="816"/>
      <c r="N117" s="816"/>
      <c r="O117" s="28"/>
      <c r="P117" s="824"/>
      <c r="Q117" s="818"/>
      <c r="R117" s="818"/>
      <c r="S117" s="818"/>
      <c r="T117" s="818"/>
      <c r="U117" s="818"/>
      <c r="V117" s="818"/>
      <c r="W117" s="818"/>
      <c r="X117" s="28"/>
      <c r="Y117" s="825"/>
      <c r="Z117" s="825"/>
      <c r="AA117" s="825"/>
      <c r="AB117" s="825"/>
      <c r="AC117" s="825"/>
      <c r="AD117" s="28"/>
      <c r="AE117" s="819"/>
      <c r="AF117" s="819"/>
      <c r="AG117" s="819"/>
      <c r="AH117" s="819"/>
      <c r="AI117" s="819"/>
      <c r="AJ117" s="28"/>
      <c r="AK117" s="819"/>
      <c r="AL117" s="819"/>
      <c r="AM117" s="819"/>
      <c r="AN117" s="28"/>
      <c r="AO117" s="817" t="str">
        <f t="shared" si="2"/>
        <v/>
      </c>
      <c r="AP117" s="817"/>
      <c r="AQ117" s="817"/>
      <c r="BF117" s="342"/>
      <c r="BH117" s="748">
        <f t="shared" si="3"/>
        <v>0</v>
      </c>
      <c r="BI117" s="749"/>
      <c r="BJ117" s="749"/>
      <c r="BK117" s="749"/>
      <c r="BL117" s="749"/>
      <c r="BN117" s="697">
        <f>IF(OR(COUNTBLANK(Y117:AM117)=15,Y117=0),0,IF(OR(COUNTBLANK(Y117:AM117)=13,COUNTBLANK(Y117:AM117)=14),N.D.,((Y117*AE117)*AK117)/Paramètres!$G$6))</f>
        <v>0</v>
      </c>
      <c r="BO117" s="697"/>
      <c r="BP117" s="697"/>
      <c r="BQ117" s="697"/>
      <c r="BR117" s="697"/>
      <c r="BT117" s="697">
        <f>IF(OR(COUNTBLANK(Y117:AM117)=15,Y117=0),0,IF(OR(COUNTBLANK(Y117:AM117)=13,COUNTBLANK(Y117:AM117)=14),N.D.,((Y117*AE117)*AO117)/Paramètres!$G$6))</f>
        <v>0</v>
      </c>
      <c r="BU117" s="697"/>
      <c r="BV117" s="697"/>
      <c r="BW117" s="697"/>
      <c r="BX117" s="697"/>
      <c r="BZ117" s="27"/>
      <c r="CB117" s="383"/>
      <c r="CC117" s="383"/>
      <c r="CD117" s="383"/>
      <c r="CE117" s="383"/>
      <c r="CF117" s="383"/>
    </row>
    <row r="118" spans="4:88" ht="15" customHeight="1" x14ac:dyDescent="0.25">
      <c r="F118" s="342"/>
      <c r="J118" s="815"/>
      <c r="K118" s="816"/>
      <c r="L118" s="816"/>
      <c r="M118" s="816"/>
      <c r="N118" s="816"/>
      <c r="O118" s="28"/>
      <c r="P118" s="824"/>
      <c r="Q118" s="818"/>
      <c r="R118" s="818"/>
      <c r="S118" s="818"/>
      <c r="T118" s="818"/>
      <c r="U118" s="818"/>
      <c r="V118" s="818"/>
      <c r="W118" s="818"/>
      <c r="X118" s="28"/>
      <c r="Y118" s="825"/>
      <c r="Z118" s="825"/>
      <c r="AA118" s="825"/>
      <c r="AB118" s="825"/>
      <c r="AC118" s="825"/>
      <c r="AD118" s="28"/>
      <c r="AE118" s="819"/>
      <c r="AF118" s="819"/>
      <c r="AG118" s="819"/>
      <c r="AH118" s="819"/>
      <c r="AI118" s="819"/>
      <c r="AJ118" s="28"/>
      <c r="AK118" s="819"/>
      <c r="AL118" s="819"/>
      <c r="AM118" s="819"/>
      <c r="AN118" s="28"/>
      <c r="AO118" s="817" t="str">
        <f t="shared" si="2"/>
        <v/>
      </c>
      <c r="AP118" s="817"/>
      <c r="AQ118" s="817"/>
      <c r="BF118" s="342"/>
      <c r="BH118" s="748">
        <f t="shared" si="3"/>
        <v>0</v>
      </c>
      <c r="BI118" s="749"/>
      <c r="BJ118" s="749"/>
      <c r="BK118" s="749"/>
      <c r="BL118" s="749"/>
      <c r="BN118" s="697">
        <f>IF(OR(COUNTBLANK(Y118:AM118)=15,Y118=0),0,IF(OR(COUNTBLANK(Y118:AM118)=13,COUNTBLANK(Y118:AM118)=14),N.D.,((Y118*AE118)*AK118)/Paramètres!$G$6))</f>
        <v>0</v>
      </c>
      <c r="BO118" s="697"/>
      <c r="BP118" s="697"/>
      <c r="BQ118" s="697"/>
      <c r="BR118" s="697"/>
      <c r="BT118" s="697">
        <f>IF(OR(COUNTBLANK(Y118:AM118)=15,Y118=0),0,IF(OR(COUNTBLANK(Y118:AM118)=13,COUNTBLANK(Y118:AM118)=14),N.D.,((Y118*AE118)*AO118)/Paramètres!$G$6))</f>
        <v>0</v>
      </c>
      <c r="BU118" s="697"/>
      <c r="BV118" s="697"/>
      <c r="BW118" s="697"/>
      <c r="BX118" s="697"/>
      <c r="BZ118" s="27"/>
      <c r="CB118" s="383"/>
      <c r="CC118" s="383"/>
      <c r="CD118" s="383"/>
      <c r="CE118" s="383"/>
      <c r="CF118" s="383"/>
    </row>
    <row r="119" spans="4:88" ht="15" customHeight="1" x14ac:dyDescent="0.25">
      <c r="F119" s="342"/>
      <c r="J119" s="815"/>
      <c r="K119" s="816"/>
      <c r="L119" s="816"/>
      <c r="M119" s="816"/>
      <c r="N119" s="816"/>
      <c r="O119" s="28"/>
      <c r="P119" s="818"/>
      <c r="Q119" s="818"/>
      <c r="R119" s="818"/>
      <c r="S119" s="818"/>
      <c r="T119" s="818"/>
      <c r="U119" s="818"/>
      <c r="V119" s="818"/>
      <c r="W119" s="818"/>
      <c r="X119" s="28"/>
      <c r="Y119" s="825"/>
      <c r="Z119" s="825"/>
      <c r="AA119" s="825"/>
      <c r="AB119" s="825"/>
      <c r="AC119" s="825"/>
      <c r="AD119" s="28"/>
      <c r="AE119" s="819"/>
      <c r="AF119" s="819"/>
      <c r="AG119" s="819"/>
      <c r="AH119" s="819"/>
      <c r="AI119" s="819"/>
      <c r="AJ119" s="28"/>
      <c r="AK119" s="819"/>
      <c r="AL119" s="819"/>
      <c r="AM119" s="819"/>
      <c r="AN119" s="28"/>
      <c r="AO119" s="817" t="str">
        <f t="shared" si="2"/>
        <v/>
      </c>
      <c r="AP119" s="817"/>
      <c r="AQ119" s="817"/>
      <c r="BF119" s="342"/>
      <c r="BH119" s="748">
        <f t="shared" si="3"/>
        <v>0</v>
      </c>
      <c r="BI119" s="749"/>
      <c r="BJ119" s="749"/>
      <c r="BK119" s="749"/>
      <c r="BL119" s="749"/>
      <c r="BN119" s="697">
        <f>IF(OR(COUNTBLANK(Y119:AM119)=15,Y119=0),0,IF(OR(COUNTBLANK(Y119:AM119)=13,COUNTBLANK(Y119:AM119)=14),N.D.,((Y119*AE119)*AK119)/Paramètres!$G$6))</f>
        <v>0</v>
      </c>
      <c r="BO119" s="697"/>
      <c r="BP119" s="697"/>
      <c r="BQ119" s="697"/>
      <c r="BR119" s="697"/>
      <c r="BT119" s="697">
        <f>IF(OR(COUNTBLANK(Y119:AM119)=15,Y119=0),0,IF(OR(COUNTBLANK(Y119:AM119)=13,COUNTBLANK(Y119:AM119)=14),N.D.,((Y119*AE119)*AO119)/Paramètres!$G$6))</f>
        <v>0</v>
      </c>
      <c r="BU119" s="697"/>
      <c r="BV119" s="697"/>
      <c r="BW119" s="697"/>
      <c r="BX119" s="697"/>
      <c r="BZ119" s="27"/>
      <c r="CB119" s="383"/>
      <c r="CC119" s="383"/>
      <c r="CD119" s="383"/>
      <c r="CE119" s="383"/>
      <c r="CF119" s="383"/>
    </row>
    <row r="120" spans="4:88" ht="15" customHeight="1" x14ac:dyDescent="0.25">
      <c r="F120" s="342"/>
      <c r="J120" s="815"/>
      <c r="K120" s="816"/>
      <c r="L120" s="816"/>
      <c r="M120" s="816"/>
      <c r="N120" s="816"/>
      <c r="O120" s="28"/>
      <c r="P120" s="818"/>
      <c r="Q120" s="818"/>
      <c r="R120" s="818"/>
      <c r="S120" s="818"/>
      <c r="T120" s="818"/>
      <c r="U120" s="818"/>
      <c r="V120" s="818"/>
      <c r="W120" s="818"/>
      <c r="X120" s="28"/>
      <c r="Y120" s="825"/>
      <c r="Z120" s="825"/>
      <c r="AA120" s="825"/>
      <c r="AB120" s="825"/>
      <c r="AC120" s="825"/>
      <c r="AD120" s="28"/>
      <c r="AE120" s="819"/>
      <c r="AF120" s="819"/>
      <c r="AG120" s="819"/>
      <c r="AH120" s="819"/>
      <c r="AI120" s="819"/>
      <c r="AJ120" s="28"/>
      <c r="AK120" s="819"/>
      <c r="AL120" s="819"/>
      <c r="AM120" s="819"/>
      <c r="AN120" s="28"/>
      <c r="AO120" s="817" t="str">
        <f t="shared" si="2"/>
        <v/>
      </c>
      <c r="AP120" s="817"/>
      <c r="AQ120" s="817"/>
      <c r="BF120" s="342"/>
      <c r="BH120" s="748">
        <f t="shared" si="3"/>
        <v>0</v>
      </c>
      <c r="BI120" s="749"/>
      <c r="BJ120" s="749"/>
      <c r="BK120" s="749"/>
      <c r="BL120" s="749"/>
      <c r="BN120" s="697">
        <f>IF(OR(COUNTBLANK(Y120:AM120)=15,Y120=0),0,IF(OR(COUNTBLANK(Y120:AM120)=13,COUNTBLANK(Y120:AM120)=14),N.D.,((Y120*AE120)*AK120)/Paramètres!$G$6))</f>
        <v>0</v>
      </c>
      <c r="BO120" s="697"/>
      <c r="BP120" s="697"/>
      <c r="BQ120" s="697"/>
      <c r="BR120" s="697"/>
      <c r="BT120" s="697">
        <f>IF(OR(COUNTBLANK(Y120:AM120)=15,Y120=0),0,IF(OR(COUNTBLANK(Y120:AM120)=13,COUNTBLANK(Y120:AM120)=14),N.D.,((Y120*AE120)*AO120)/Paramètres!$G$6))</f>
        <v>0</v>
      </c>
      <c r="BU120" s="697"/>
      <c r="BV120" s="697"/>
      <c r="BW120" s="697"/>
      <c r="BX120" s="697"/>
      <c r="BZ120" s="27"/>
      <c r="CB120" s="383"/>
      <c r="CC120" s="383"/>
      <c r="CD120" s="383"/>
      <c r="CE120" s="383"/>
      <c r="CF120" s="383"/>
    </row>
    <row r="121" spans="4:88" ht="15" customHeight="1" x14ac:dyDescent="0.25">
      <c r="F121" s="342"/>
      <c r="J121" s="815"/>
      <c r="K121" s="816"/>
      <c r="L121" s="816"/>
      <c r="M121" s="816"/>
      <c r="N121" s="816"/>
      <c r="O121" s="28"/>
      <c r="P121" s="818"/>
      <c r="Q121" s="818"/>
      <c r="R121" s="818"/>
      <c r="S121" s="818"/>
      <c r="T121" s="818"/>
      <c r="U121" s="818"/>
      <c r="V121" s="818"/>
      <c r="W121" s="818"/>
      <c r="X121" s="28"/>
      <c r="Y121" s="825"/>
      <c r="Z121" s="825"/>
      <c r="AA121" s="825"/>
      <c r="AB121" s="825"/>
      <c r="AC121" s="825"/>
      <c r="AD121" s="28"/>
      <c r="AE121" s="819"/>
      <c r="AF121" s="819"/>
      <c r="AG121" s="819"/>
      <c r="AH121" s="819"/>
      <c r="AI121" s="819"/>
      <c r="AJ121" s="28"/>
      <c r="AK121" s="819"/>
      <c r="AL121" s="819"/>
      <c r="AM121" s="819"/>
      <c r="AN121" s="28"/>
      <c r="AO121" s="817" t="str">
        <f t="shared" si="2"/>
        <v/>
      </c>
      <c r="AP121" s="817"/>
      <c r="AQ121" s="817"/>
      <c r="BF121" s="342"/>
      <c r="BH121" s="748">
        <f t="shared" si="3"/>
        <v>0</v>
      </c>
      <c r="BI121" s="749"/>
      <c r="BJ121" s="749"/>
      <c r="BK121" s="749"/>
      <c r="BL121" s="749"/>
      <c r="BN121" s="697">
        <f>IF(OR(COUNTBLANK(Y121:AM121)=15,Y121=0),0,IF(OR(COUNTBLANK(Y121:AM121)=13,COUNTBLANK(Y121:AM121)=14),N.D.,((Y121*AE121)*AK121)/Paramètres!$G$6))</f>
        <v>0</v>
      </c>
      <c r="BO121" s="697"/>
      <c r="BP121" s="697"/>
      <c r="BQ121" s="697"/>
      <c r="BR121" s="697"/>
      <c r="BT121" s="697">
        <f>IF(OR(COUNTBLANK(Y121:AM121)=15,Y121=0),0,IF(OR(COUNTBLANK(Y121:AM121)=13,COUNTBLANK(Y121:AM121)=14),N.D.,((Y121*AE121)*AO121)/Paramètres!$G$6))</f>
        <v>0</v>
      </c>
      <c r="BU121" s="697"/>
      <c r="BV121" s="697"/>
      <c r="BW121" s="697"/>
      <c r="BX121" s="697"/>
      <c r="BZ121" s="27"/>
      <c r="CB121" s="383"/>
      <c r="CC121" s="383"/>
      <c r="CD121" s="383"/>
      <c r="CE121" s="383"/>
      <c r="CF121" s="383"/>
    </row>
    <row r="122" spans="4:88" ht="15" customHeight="1" x14ac:dyDescent="0.25">
      <c r="F122" s="342"/>
      <c r="AK122" s="131"/>
      <c r="AL122" s="131"/>
      <c r="AM122" s="131"/>
      <c r="AN122" s="131"/>
      <c r="AO122" s="131"/>
      <c r="BF122" s="342"/>
      <c r="BH122" s="57"/>
      <c r="BZ122" s="27"/>
    </row>
    <row r="123" spans="4:88" ht="15" customHeight="1" x14ac:dyDescent="0.25">
      <c r="D123" s="73" t="str">
        <f>$C$108&amp;".2"</f>
        <v>4.2.2</v>
      </c>
      <c r="F123" s="342"/>
      <c r="J123" s="379"/>
      <c r="K123" s="16" t="str">
        <f>puce1</f>
        <v>Ä</v>
      </c>
      <c r="L123" s="812" t="s">
        <v>708</v>
      </c>
      <c r="M123" s="812"/>
      <c r="N123" s="812"/>
      <c r="O123" s="812"/>
      <c r="P123" s="812"/>
      <c r="Q123" s="812"/>
      <c r="R123" s="812"/>
      <c r="S123" s="812"/>
      <c r="T123" s="812"/>
      <c r="U123" s="812"/>
      <c r="V123" s="812"/>
      <c r="W123" s="812"/>
      <c r="X123" s="812"/>
      <c r="Y123" s="812"/>
      <c r="Z123" s="812"/>
      <c r="AA123" s="812"/>
      <c r="AB123" s="812"/>
      <c r="AC123" s="828"/>
      <c r="AD123" s="828"/>
      <c r="AE123" s="828"/>
      <c r="AF123" s="378"/>
      <c r="AG123" s="378"/>
      <c r="AI123" s="380"/>
      <c r="AJ123" s="380"/>
      <c r="AK123" s="380"/>
      <c r="AL123" s="380"/>
      <c r="AM123" s="380"/>
      <c r="AN123" s="380"/>
      <c r="AO123" s="380"/>
      <c r="AP123" s="380"/>
      <c r="BF123" s="342"/>
      <c r="BH123" s="692" t="s">
        <v>276</v>
      </c>
      <c r="BI123" s="693"/>
      <c r="BJ123" s="693"/>
      <c r="BK123" s="693"/>
      <c r="BL123" s="693"/>
      <c r="BM123" s="189"/>
      <c r="BN123" s="697" t="str">
        <f>IF($AC$110="Non",0,IF(AND(AC$110&lt;&gt;"Non", COUNTBLANK(Y116:AM121)=90),N.D.,IF(COUNTIF(BN116:BN121,N.D.)&gt;0,N.D.,SUM(BN116:BN121))))</f>
        <v>N.D.</v>
      </c>
      <c r="BO123" s="697"/>
      <c r="BP123" s="697"/>
      <c r="BQ123" s="697"/>
      <c r="BR123" s="697"/>
      <c r="BT123" s="697" t="str">
        <f>IF(AC$110="Non",0,IF(AND(AC$110&lt;&gt;"Non", COUNTBLANK(Y116:AM121)=90),N.D.,IF(COUNTIF(BT116:BT121,N.D.)&gt;0,N.D.,SUM(BT116:BT121))))</f>
        <v>N.D.</v>
      </c>
      <c r="BU123" s="697"/>
      <c r="BV123" s="697"/>
      <c r="BW123" s="697"/>
      <c r="BX123" s="697"/>
      <c r="BZ123" s="27"/>
    </row>
    <row r="124" spans="4:88" ht="15" customHeight="1" x14ac:dyDescent="0.25">
      <c r="D124" s="73"/>
      <c r="F124" s="342"/>
      <c r="J124" s="379"/>
      <c r="K124" s="350"/>
      <c r="L124" s="812"/>
      <c r="M124" s="812"/>
      <c r="N124" s="812"/>
      <c r="O124" s="812"/>
      <c r="P124" s="812"/>
      <c r="Q124" s="812"/>
      <c r="R124" s="812"/>
      <c r="S124" s="812"/>
      <c r="T124" s="812"/>
      <c r="U124" s="812"/>
      <c r="V124" s="812"/>
      <c r="W124" s="812"/>
      <c r="X124" s="812"/>
      <c r="Y124" s="812"/>
      <c r="Z124" s="812"/>
      <c r="AA124" s="812"/>
      <c r="AB124" s="812"/>
      <c r="AC124" s="378"/>
      <c r="AD124" s="378"/>
      <c r="AE124" s="378"/>
      <c r="AF124" s="378"/>
      <c r="AG124" s="378"/>
      <c r="AI124" s="380"/>
      <c r="AJ124" s="380"/>
      <c r="AK124" s="380"/>
      <c r="AL124" s="380"/>
      <c r="AM124" s="380"/>
      <c r="AN124" s="380"/>
      <c r="AO124" s="380"/>
      <c r="AP124" s="380"/>
      <c r="BF124" s="342"/>
      <c r="BH124" s="511"/>
      <c r="BI124" s="143"/>
      <c r="BJ124" s="143"/>
      <c r="BK124" s="143"/>
      <c r="BL124" s="143"/>
      <c r="BM124" s="189"/>
      <c r="BN124" s="385"/>
      <c r="BO124" s="385"/>
      <c r="BP124" s="385"/>
      <c r="BQ124" s="385"/>
      <c r="BR124" s="385"/>
      <c r="BT124" s="385"/>
      <c r="BU124" s="385"/>
      <c r="BV124" s="385"/>
      <c r="BW124" s="385"/>
      <c r="BX124" s="385"/>
      <c r="BZ124" s="329"/>
    </row>
    <row r="125" spans="4:88" ht="5.25" customHeight="1" x14ac:dyDescent="0.25">
      <c r="F125" s="342"/>
      <c r="J125" s="348"/>
      <c r="K125" s="348"/>
      <c r="L125" s="380"/>
      <c r="M125" s="384"/>
      <c r="N125" s="384"/>
      <c r="O125" s="384"/>
      <c r="P125" s="384"/>
      <c r="Q125" s="384"/>
      <c r="R125" s="384"/>
      <c r="S125" s="384"/>
      <c r="T125" s="384"/>
      <c r="U125" s="384"/>
      <c r="V125" s="384"/>
      <c r="W125" s="384"/>
      <c r="X125" s="384"/>
      <c r="Y125" s="384"/>
      <c r="Z125" s="384"/>
      <c r="AA125" s="384"/>
      <c r="AB125" s="384"/>
      <c r="AC125" s="348"/>
      <c r="AD125" s="348"/>
      <c r="AE125" s="380"/>
      <c r="AF125" s="380"/>
      <c r="AG125" s="380"/>
      <c r="AH125" s="380"/>
      <c r="AI125" s="380"/>
      <c r="AJ125" s="380"/>
      <c r="AK125" s="380"/>
      <c r="AL125" s="380"/>
      <c r="AM125" s="380"/>
      <c r="AN125" s="380"/>
      <c r="AO125" s="380"/>
      <c r="AP125" s="380"/>
      <c r="AQ125" s="380"/>
      <c r="AR125" s="380"/>
      <c r="BF125" s="342"/>
      <c r="BH125" s="338"/>
      <c r="BI125" s="143"/>
      <c r="BJ125" s="143"/>
      <c r="BK125" s="143"/>
      <c r="BL125" s="143"/>
      <c r="BM125" s="189"/>
      <c r="BN125" s="385"/>
      <c r="BO125" s="385"/>
      <c r="BP125" s="385"/>
      <c r="BQ125" s="385"/>
      <c r="BR125" s="385"/>
      <c r="BT125" s="385"/>
      <c r="BU125" s="385"/>
      <c r="BV125" s="385"/>
      <c r="BW125" s="385"/>
      <c r="BX125" s="385"/>
      <c r="BZ125" s="27"/>
    </row>
    <row r="126" spans="4:88" ht="15" customHeight="1" x14ac:dyDescent="0.25">
      <c r="F126" s="342"/>
      <c r="L126" s="811" t="str">
        <f>IF(AC123="oui",txt_pour_info,"")</f>
        <v/>
      </c>
      <c r="M126" s="811"/>
      <c r="N126" s="811"/>
      <c r="O126" s="811"/>
      <c r="P126" s="811"/>
      <c r="Q126" s="811"/>
      <c r="R126" s="811"/>
      <c r="S126" s="811"/>
      <c r="T126" s="811"/>
      <c r="U126" s="811"/>
      <c r="V126" s="811"/>
      <c r="W126" s="811"/>
      <c r="X126" s="811"/>
      <c r="Y126" s="811"/>
      <c r="Z126" s="811"/>
      <c r="AA126" s="811"/>
      <c r="AB126" s="811"/>
      <c r="AC126" s="811"/>
      <c r="AD126" s="811"/>
      <c r="AE126" s="811"/>
      <c r="AF126" s="811"/>
      <c r="AG126" s="811"/>
      <c r="AH126" s="811"/>
      <c r="AI126" s="811"/>
      <c r="AJ126" s="811"/>
      <c r="AK126" s="811"/>
      <c r="AL126" s="811"/>
      <c r="AM126" s="811"/>
      <c r="AN126" s="811"/>
      <c r="AO126" s="811"/>
      <c r="AP126" s="380"/>
      <c r="AQ126" s="380"/>
      <c r="AR126" s="380"/>
      <c r="BF126" s="342"/>
      <c r="BH126" s="57"/>
      <c r="BZ126" s="27"/>
    </row>
    <row r="127" spans="4:88" ht="15" customHeight="1" thickBot="1" x14ac:dyDescent="0.3">
      <c r="F127" s="342"/>
      <c r="L127" s="380"/>
      <c r="M127" s="384"/>
      <c r="N127" s="384"/>
      <c r="O127" s="384"/>
      <c r="P127" s="384"/>
      <c r="Q127" s="384"/>
      <c r="R127" s="384"/>
      <c r="S127" s="384"/>
      <c r="T127" s="384"/>
      <c r="U127" s="384"/>
      <c r="V127" s="384"/>
      <c r="W127" s="384"/>
      <c r="X127" s="384"/>
      <c r="Y127" s="384"/>
      <c r="Z127" s="384"/>
      <c r="AA127" s="384"/>
      <c r="AB127" s="384"/>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0"/>
      <c r="BC127" s="380"/>
      <c r="BD127" s="380"/>
      <c r="BF127" s="342"/>
      <c r="BH127" s="57"/>
      <c r="BZ127" s="27"/>
    </row>
    <row r="128" spans="4:88" ht="15" customHeight="1" thickBot="1" x14ac:dyDescent="0.3">
      <c r="D128" s="73" t="str">
        <f>$C$108&amp;".3"</f>
        <v>4.2.3</v>
      </c>
      <c r="F128" s="342"/>
      <c r="K128" s="805" t="s">
        <v>780</v>
      </c>
      <c r="L128" s="806"/>
      <c r="M128" s="806"/>
      <c r="N128" s="806"/>
      <c r="O128" s="806"/>
      <c r="P128" s="806"/>
      <c r="Q128" s="806"/>
      <c r="R128" s="806"/>
      <c r="S128" s="806"/>
      <c r="T128" s="806"/>
      <c r="U128" s="806"/>
      <c r="V128" s="806"/>
      <c r="W128" s="806"/>
      <c r="X128" s="806"/>
      <c r="Y128" s="806"/>
      <c r="Z128" s="806"/>
      <c r="AA128" s="806"/>
      <c r="AB128" s="806"/>
      <c r="AC128" s="806"/>
      <c r="AD128" s="806"/>
      <c r="AE128" s="806"/>
      <c r="AF128" s="806"/>
      <c r="AG128" s="806"/>
      <c r="AH128" s="806"/>
      <c r="AI128" s="806"/>
      <c r="AJ128" s="806"/>
      <c r="AK128" s="806"/>
      <c r="AL128" s="806"/>
      <c r="AM128" s="806"/>
      <c r="AN128" s="806"/>
      <c r="AO128" s="806"/>
      <c r="AP128" s="807"/>
      <c r="AQ128" s="380"/>
      <c r="AR128" s="380"/>
      <c r="AS128" s="380"/>
      <c r="AT128" s="380"/>
      <c r="AU128" s="380"/>
      <c r="AV128" s="380"/>
      <c r="AW128" s="380"/>
      <c r="AX128" s="380"/>
      <c r="AY128" s="380"/>
      <c r="AZ128" s="380"/>
      <c r="BA128" s="380"/>
      <c r="BB128" s="380"/>
      <c r="BC128" s="380"/>
      <c r="BD128" s="380"/>
      <c r="BF128" s="342"/>
      <c r="BH128" s="321"/>
      <c r="BI128" s="322"/>
      <c r="BJ128" s="322"/>
      <c r="BK128" s="322"/>
      <c r="BL128" s="322"/>
      <c r="BM128" s="322"/>
      <c r="BN128" s="322"/>
      <c r="BO128" s="322"/>
      <c r="BP128" s="322"/>
      <c r="BQ128" s="322"/>
      <c r="BR128" s="322"/>
      <c r="BS128" s="322"/>
      <c r="BT128" s="322"/>
      <c r="BU128" s="322"/>
      <c r="BV128" s="322"/>
      <c r="BW128" s="322"/>
      <c r="BX128" s="322"/>
      <c r="BY128" s="322"/>
      <c r="BZ128" s="323"/>
    </row>
    <row r="129" spans="1:83" ht="6" customHeight="1" thickBot="1" x14ac:dyDescent="0.3">
      <c r="F129" s="342"/>
      <c r="K129" s="808"/>
      <c r="L129" s="809"/>
      <c r="M129" s="809"/>
      <c r="N129" s="809"/>
      <c r="O129" s="809"/>
      <c r="P129" s="809"/>
      <c r="Q129" s="809"/>
      <c r="R129" s="809"/>
      <c r="S129" s="809"/>
      <c r="T129" s="809"/>
      <c r="U129" s="809"/>
      <c r="V129" s="809"/>
      <c r="W129" s="809"/>
      <c r="X129" s="809"/>
      <c r="Y129" s="809"/>
      <c r="Z129" s="809"/>
      <c r="AA129" s="809"/>
      <c r="AB129" s="809"/>
      <c r="AC129" s="809"/>
      <c r="AD129" s="809"/>
      <c r="AE129" s="809"/>
      <c r="AF129" s="809"/>
      <c r="AG129" s="809"/>
      <c r="AH129" s="809"/>
      <c r="AI129" s="809"/>
      <c r="AJ129" s="809"/>
      <c r="AK129" s="809"/>
      <c r="AL129" s="809"/>
      <c r="AM129" s="809"/>
      <c r="AN129" s="809"/>
      <c r="AO129" s="809"/>
      <c r="AP129" s="810"/>
      <c r="AQ129" s="380"/>
      <c r="AR129" s="380"/>
      <c r="AS129" s="380"/>
      <c r="AT129" s="380"/>
      <c r="AU129" s="380"/>
      <c r="AV129" s="380"/>
      <c r="AW129" s="380"/>
      <c r="AX129" s="380"/>
      <c r="AY129" s="380"/>
      <c r="AZ129" s="380"/>
      <c r="BA129" s="380"/>
      <c r="BB129" s="380"/>
      <c r="BC129" s="380"/>
      <c r="BD129" s="380"/>
      <c r="BF129" s="342"/>
      <c r="BI129" s="143"/>
      <c r="BJ129" s="143"/>
      <c r="BK129" s="143"/>
      <c r="BL129" s="143"/>
      <c r="BM129" s="143"/>
      <c r="BN129" s="143"/>
      <c r="BO129" s="143"/>
      <c r="BP129" s="143"/>
      <c r="BQ129" s="385"/>
      <c r="BR129" s="385"/>
      <c r="BS129" s="385"/>
      <c r="BT129" s="385"/>
      <c r="BU129" s="385"/>
    </row>
    <row r="130" spans="1:83" ht="15" customHeight="1" x14ac:dyDescent="0.25">
      <c r="F130" s="342"/>
      <c r="L130" s="380"/>
      <c r="M130" s="384"/>
      <c r="N130" s="384"/>
      <c r="O130" s="384"/>
      <c r="P130" s="384"/>
      <c r="Q130" s="384"/>
      <c r="R130" s="384"/>
      <c r="S130" s="384"/>
      <c r="T130" s="384"/>
      <c r="U130" s="384"/>
      <c r="V130" s="384"/>
      <c r="W130" s="384"/>
      <c r="X130" s="384"/>
      <c r="Y130" s="384"/>
      <c r="Z130" s="384"/>
      <c r="AA130" s="384"/>
      <c r="AB130" s="384"/>
      <c r="AE130" s="380"/>
      <c r="AF130" s="380"/>
      <c r="AG130" s="380"/>
      <c r="AH130" s="380"/>
      <c r="AI130" s="380"/>
      <c r="AJ130" s="380"/>
      <c r="AK130" s="380"/>
      <c r="AL130" s="380"/>
      <c r="AM130" s="380"/>
      <c r="AN130" s="380"/>
      <c r="AO130" s="380"/>
      <c r="AP130" s="380"/>
      <c r="AQ130" s="380"/>
      <c r="AR130" s="380"/>
      <c r="BF130" s="342"/>
      <c r="BI130" s="143"/>
      <c r="BJ130" s="143"/>
      <c r="BK130" s="143"/>
      <c r="BL130" s="143"/>
      <c r="BM130" s="143"/>
      <c r="BN130" s="143"/>
      <c r="BO130" s="143"/>
      <c r="BP130" s="143"/>
      <c r="BQ130" s="385"/>
      <c r="BR130" s="385"/>
      <c r="BS130" s="385"/>
      <c r="BT130" s="385"/>
      <c r="BU130" s="385"/>
    </row>
    <row r="131" spans="1:83" ht="15" customHeight="1" x14ac:dyDescent="0.25">
      <c r="C131" s="73" t="str">
        <f>$C$84&amp;".3"</f>
        <v>4.3</v>
      </c>
      <c r="D131" s="73"/>
      <c r="E131" s="21"/>
      <c r="F131" s="342"/>
      <c r="G131" s="19"/>
      <c r="H131" s="19"/>
      <c r="I131" s="19"/>
      <c r="J131" s="77" t="str">
        <f>CONCATENATE($B$2,".",$C131,".")</f>
        <v>2.4.3.</v>
      </c>
      <c r="K131" s="820" t="s">
        <v>563</v>
      </c>
      <c r="L131" s="733"/>
      <c r="M131" s="733"/>
      <c r="N131" s="733"/>
      <c r="O131" s="733"/>
      <c r="P131" s="733"/>
      <c r="Q131" s="733"/>
      <c r="R131" s="733"/>
      <c r="S131" s="733"/>
      <c r="T131" s="733"/>
      <c r="U131" s="733"/>
      <c r="V131" s="733"/>
      <c r="W131" s="733"/>
      <c r="X131" s="733"/>
      <c r="Y131" s="733"/>
      <c r="Z131" s="733"/>
      <c r="AA131" s="733"/>
      <c r="AB131" s="733"/>
      <c r="BF131" s="342"/>
      <c r="BQ131" s="727" t="s">
        <v>589</v>
      </c>
      <c r="BR131" s="727"/>
      <c r="BS131" s="727"/>
      <c r="BT131" s="727"/>
      <c r="BU131" s="727"/>
      <c r="BX131" s="727" t="s">
        <v>589</v>
      </c>
      <c r="BY131" s="727"/>
      <c r="BZ131" s="727"/>
      <c r="CA131" s="727"/>
      <c r="CB131" s="727"/>
    </row>
    <row r="132" spans="1:83" ht="15" customHeight="1" x14ac:dyDescent="0.25">
      <c r="C132" s="73"/>
      <c r="D132" s="73"/>
      <c r="E132" s="21"/>
      <c r="F132" s="342"/>
      <c r="G132" s="19"/>
      <c r="H132" s="19"/>
      <c r="I132" s="19"/>
      <c r="J132" s="77"/>
      <c r="K132" s="278"/>
      <c r="L132" s="22"/>
      <c r="M132" s="22"/>
      <c r="N132" s="22"/>
      <c r="O132" s="22"/>
      <c r="P132" s="22"/>
      <c r="Q132" s="22"/>
      <c r="R132" s="22"/>
      <c r="S132" s="22"/>
      <c r="T132" s="22"/>
      <c r="U132" s="22"/>
      <c r="V132" s="22"/>
      <c r="W132" s="22"/>
      <c r="X132" s="22"/>
      <c r="Y132" s="22"/>
      <c r="Z132" s="22"/>
      <c r="AA132" s="22"/>
      <c r="AB132" s="22"/>
      <c r="BF132" s="342"/>
      <c r="BQ132" s="724" t="str">
        <f>Paramètres!$G$6*100&amp;" % siccité"</f>
        <v>20 % siccité</v>
      </c>
      <c r="BR132" s="724"/>
      <c r="BS132" s="724"/>
      <c r="BT132" s="724"/>
      <c r="BU132" s="724"/>
      <c r="BX132" s="724" t="str">
        <f>"3,5 % siccité"</f>
        <v>3,5 % siccité</v>
      </c>
      <c r="BY132" s="724"/>
      <c r="BZ132" s="724"/>
      <c r="CA132" s="724"/>
      <c r="CB132" s="724"/>
    </row>
    <row r="133" spans="1:83" ht="15" customHeight="1" x14ac:dyDescent="0.25">
      <c r="C133" s="73"/>
      <c r="D133" s="73" t="str">
        <f>$C$131&amp;".1"</f>
        <v>4.3.1</v>
      </c>
      <c r="E133" s="21"/>
      <c r="F133" s="342"/>
      <c r="G133" s="19"/>
      <c r="H133" s="19"/>
      <c r="I133" s="19"/>
      <c r="K133" s="350" t="str">
        <f>CONCATENATE($B$2,".",$D133,".")</f>
        <v>2.4.3.1.</v>
      </c>
      <c r="L133" s="788" t="s">
        <v>592</v>
      </c>
      <c r="M133" s="788"/>
      <c r="N133" s="788"/>
      <c r="O133" s="788"/>
      <c r="P133" s="788"/>
      <c r="Q133" s="788"/>
      <c r="R133" s="788"/>
      <c r="S133" s="788"/>
      <c r="T133" s="788"/>
      <c r="U133" s="788"/>
      <c r="V133" s="788"/>
      <c r="W133" s="788"/>
      <c r="X133" s="788"/>
      <c r="Y133" s="788"/>
      <c r="Z133" s="788"/>
      <c r="AA133" s="788"/>
      <c r="AB133" s="788"/>
      <c r="AC133" s="788"/>
      <c r="AD133" s="788"/>
      <c r="AE133" s="788"/>
      <c r="AF133" s="788"/>
      <c r="AG133" s="788"/>
      <c r="AH133" s="788"/>
      <c r="AI133" s="788"/>
      <c r="AJ133" s="788"/>
      <c r="AK133" s="788"/>
      <c r="AL133" s="788"/>
      <c r="AM133" s="788"/>
      <c r="AN133" s="788"/>
      <c r="AO133" s="788"/>
      <c r="AP133" s="788"/>
      <c r="AQ133" s="788"/>
      <c r="AR133" s="788"/>
      <c r="AS133" s="788"/>
      <c r="AT133" s="788"/>
      <c r="AU133" s="788"/>
      <c r="AV133" s="822"/>
      <c r="AW133" s="822"/>
      <c r="AX133" s="822"/>
      <c r="BF133" s="342"/>
      <c r="BI133" s="693" t="s">
        <v>591</v>
      </c>
      <c r="BJ133" s="693"/>
      <c r="BK133" s="693"/>
      <c r="BL133" s="693"/>
      <c r="BM133" s="693"/>
      <c r="BN133" s="693"/>
      <c r="BO133" s="693"/>
      <c r="BP133" s="693"/>
      <c r="BQ133" s="697" t="str">
        <f>IF($AV$133="Non",0,IF(OR($Z$134="",$U$135=""),N.D.,(BX133*3.5%)/Paramètres!$G$6))</f>
        <v>N.D.</v>
      </c>
      <c r="BR133" s="697"/>
      <c r="BS133" s="697"/>
      <c r="BT133" s="697"/>
      <c r="BU133" s="697"/>
      <c r="BX133" s="725">
        <f>$Z$134*U135*Paramètres!$E$18</f>
        <v>0</v>
      </c>
      <c r="BY133" s="725"/>
      <c r="BZ133" s="725"/>
      <c r="CA133" s="725"/>
      <c r="CB133" s="725"/>
    </row>
    <row r="134" spans="1:83" ht="15" customHeight="1" x14ac:dyDescent="0.25">
      <c r="E134" s="21"/>
      <c r="F134" s="342"/>
      <c r="G134" s="19"/>
      <c r="H134" s="19"/>
      <c r="I134" s="19"/>
      <c r="L134" s="16" t="str">
        <f>puce1</f>
        <v>Ä</v>
      </c>
      <c r="M134" s="821" t="s">
        <v>641</v>
      </c>
      <c r="N134" s="821"/>
      <c r="O134" s="821"/>
      <c r="P134" s="821"/>
      <c r="Q134" s="821"/>
      <c r="R134" s="821"/>
      <c r="S134" s="821"/>
      <c r="T134" s="821"/>
      <c r="U134" s="821"/>
      <c r="V134" s="821"/>
      <c r="W134" s="821"/>
      <c r="X134" s="821"/>
      <c r="Y134" s="376"/>
      <c r="Z134" s="823"/>
      <c r="AA134" s="823"/>
      <c r="AB134" s="823"/>
      <c r="AC134" s="823"/>
      <c r="BF134" s="342"/>
      <c r="BI134" s="693" t="s">
        <v>590</v>
      </c>
      <c r="BJ134" s="693"/>
      <c r="BK134" s="693"/>
      <c r="BL134" s="693"/>
      <c r="BM134" s="693"/>
      <c r="BN134" s="693"/>
      <c r="BO134" s="693"/>
      <c r="BP134" s="693"/>
      <c r="BQ134" s="697" t="str">
        <f>IF($AV$133="Non",0,IF(OR($Z$134="",$U$135=""),N.D.,(BX134*3.5%)/Paramètres!$G$6))</f>
        <v>N.D.</v>
      </c>
      <c r="BR134" s="697"/>
      <c r="BS134" s="697"/>
      <c r="BT134" s="697"/>
      <c r="BU134" s="697"/>
      <c r="BX134" s="725">
        <f>$Z$134*(1-U135)*Paramètres!$E$18</f>
        <v>0</v>
      </c>
      <c r="BY134" s="725"/>
      <c r="BZ134" s="725"/>
      <c r="CA134" s="725"/>
      <c r="CB134" s="725"/>
    </row>
    <row r="135" spans="1:83" ht="15" customHeight="1" thickBot="1" x14ac:dyDescent="0.3">
      <c r="F135" s="342"/>
      <c r="L135" s="16" t="str">
        <f>puce1</f>
        <v>Ä</v>
      </c>
      <c r="M135" s="821" t="s">
        <v>709</v>
      </c>
      <c r="N135" s="821"/>
      <c r="O135" s="821"/>
      <c r="P135" s="821"/>
      <c r="Q135" s="821"/>
      <c r="R135" s="821"/>
      <c r="S135" s="821"/>
      <c r="T135" s="376"/>
      <c r="U135" s="789"/>
      <c r="V135" s="789"/>
      <c r="W135" s="789"/>
      <c r="X135" s="789"/>
      <c r="Y135" s="789"/>
      <c r="AB135" s="376"/>
      <c r="BF135" s="342"/>
    </row>
    <row r="136" spans="1:83" ht="15" customHeight="1" x14ac:dyDescent="0.25">
      <c r="F136" s="342"/>
      <c r="AL136" s="790" t="s">
        <v>692</v>
      </c>
      <c r="AM136" s="791"/>
      <c r="AN136" s="791"/>
      <c r="AO136" s="791"/>
      <c r="AP136" s="791"/>
      <c r="AQ136" s="791"/>
      <c r="AR136" s="791"/>
      <c r="AS136" s="791"/>
      <c r="AT136" s="791"/>
      <c r="AU136" s="791"/>
      <c r="AV136" s="791"/>
      <c r="AW136" s="791"/>
      <c r="AX136" s="791"/>
      <c r="AY136" s="791"/>
      <c r="AZ136" s="791"/>
      <c r="BA136" s="791"/>
      <c r="BB136" s="791"/>
      <c r="BC136" s="791"/>
      <c r="BD136" s="792"/>
      <c r="BF136" s="342"/>
    </row>
    <row r="137" spans="1:83" ht="15" customHeight="1" x14ac:dyDescent="0.25">
      <c r="C137" s="73" t="str">
        <f>$C$84&amp;".4"</f>
        <v>4.4</v>
      </c>
      <c r="D137" s="73"/>
      <c r="E137" s="21"/>
      <c r="F137" s="342"/>
      <c r="G137" s="19"/>
      <c r="H137" s="19"/>
      <c r="I137" s="19"/>
      <c r="J137" s="77" t="str">
        <f>CONCATENATE($B$2,".",$C137,".")</f>
        <v>2.4.4.</v>
      </c>
      <c r="K137" s="820" t="s">
        <v>593</v>
      </c>
      <c r="L137" s="733"/>
      <c r="M137" s="733"/>
      <c r="N137" s="733"/>
      <c r="O137" s="733"/>
      <c r="P137" s="733"/>
      <c r="Q137" s="733"/>
      <c r="R137" s="733"/>
      <c r="S137" s="733"/>
      <c r="T137" s="733"/>
      <c r="U137" s="733"/>
      <c r="V137" s="733"/>
      <c r="W137" s="733"/>
      <c r="X137" s="733"/>
      <c r="Y137" s="733"/>
      <c r="Z137" s="733"/>
      <c r="AA137" s="733"/>
      <c r="AB137" s="733"/>
      <c r="AL137" s="793"/>
      <c r="AM137" s="794"/>
      <c r="AN137" s="794"/>
      <c r="AO137" s="794"/>
      <c r="AP137" s="794"/>
      <c r="AQ137" s="794"/>
      <c r="AR137" s="794"/>
      <c r="AS137" s="794"/>
      <c r="AT137" s="794"/>
      <c r="AU137" s="794"/>
      <c r="AV137" s="794"/>
      <c r="AW137" s="794"/>
      <c r="AX137" s="794"/>
      <c r="AY137" s="794"/>
      <c r="AZ137" s="794"/>
      <c r="BA137" s="794"/>
      <c r="BB137" s="794"/>
      <c r="BC137" s="794"/>
      <c r="BD137" s="795"/>
      <c r="BF137" s="342"/>
    </row>
    <row r="138" spans="1:83" ht="15" customHeight="1" x14ac:dyDescent="0.25">
      <c r="F138" s="342"/>
      <c r="AL138" s="793"/>
      <c r="AM138" s="794"/>
      <c r="AN138" s="794"/>
      <c r="AO138" s="794"/>
      <c r="AP138" s="794"/>
      <c r="AQ138" s="794"/>
      <c r="AR138" s="794"/>
      <c r="AS138" s="794"/>
      <c r="AT138" s="794"/>
      <c r="AU138" s="794"/>
      <c r="AV138" s="794"/>
      <c r="AW138" s="794"/>
      <c r="AX138" s="794"/>
      <c r="AY138" s="794"/>
      <c r="AZ138" s="794"/>
      <c r="BA138" s="794"/>
      <c r="BB138" s="794"/>
      <c r="BC138" s="794"/>
      <c r="BD138" s="795"/>
      <c r="BF138" s="342"/>
    </row>
    <row r="139" spans="1:83" ht="15" customHeight="1" thickBot="1" x14ac:dyDescent="0.3">
      <c r="A139" s="5" t="s">
        <v>8</v>
      </c>
      <c r="C139" s="73" t="str">
        <f>C137&amp;".1"</f>
        <v>4.4.1</v>
      </c>
      <c r="D139" s="73"/>
      <c r="E139" s="21"/>
      <c r="F139" s="342"/>
      <c r="G139" s="19"/>
      <c r="H139" s="19"/>
      <c r="I139" s="19"/>
      <c r="J139" s="350" t="str">
        <f>CONCATENATE($B$2,".",$C139,".")</f>
        <v>2.4.4.1.</v>
      </c>
      <c r="K139" s="728" t="str">
        <f>question_outil_utilisateur</f>
        <v>Quelles données souhaitez-vous utiliser dans les résultats ?</v>
      </c>
      <c r="L139" s="728"/>
      <c r="M139" s="728"/>
      <c r="N139" s="728"/>
      <c r="O139" s="728"/>
      <c r="P139" s="728"/>
      <c r="Q139" s="728"/>
      <c r="R139" s="728"/>
      <c r="S139" s="728"/>
      <c r="T139" s="728"/>
      <c r="U139" s="728"/>
      <c r="V139" s="728"/>
      <c r="W139" s="728"/>
      <c r="X139" s="728"/>
      <c r="Y139" s="728"/>
      <c r="Z139" s="728"/>
      <c r="AA139" s="728"/>
      <c r="AB139" s="759"/>
      <c r="AC139" s="759"/>
      <c r="AD139" s="759"/>
      <c r="AE139" s="759"/>
      <c r="AF139" s="759"/>
      <c r="AG139" s="759"/>
      <c r="AH139" s="759"/>
      <c r="AI139" s="759"/>
      <c r="AJ139" s="759"/>
      <c r="AK139" s="19"/>
      <c r="AL139" s="796"/>
      <c r="AM139" s="797"/>
      <c r="AN139" s="797"/>
      <c r="AO139" s="797"/>
      <c r="AP139" s="797"/>
      <c r="AQ139" s="797"/>
      <c r="AR139" s="797"/>
      <c r="AS139" s="797"/>
      <c r="AT139" s="797"/>
      <c r="AU139" s="797"/>
      <c r="AV139" s="797"/>
      <c r="AW139" s="797"/>
      <c r="AX139" s="797"/>
      <c r="AY139" s="797"/>
      <c r="AZ139" s="797"/>
      <c r="BA139" s="797"/>
      <c r="BB139" s="797"/>
      <c r="BC139" s="797"/>
      <c r="BD139" s="798"/>
      <c r="BF139" s="342"/>
    </row>
    <row r="140" spans="1:83" ht="15" customHeight="1" thickBot="1" x14ac:dyDescent="0.3">
      <c r="C140" s="73"/>
      <c r="D140" s="73"/>
      <c r="E140" s="21"/>
      <c r="F140" s="342"/>
      <c r="G140" s="19"/>
      <c r="H140" s="19"/>
      <c r="I140" s="19"/>
      <c r="J140" s="19"/>
      <c r="K140" s="19"/>
      <c r="L140" s="19"/>
      <c r="M140" s="19"/>
      <c r="N140" s="19"/>
      <c r="O140" s="19"/>
      <c r="P140" s="19"/>
      <c r="Q140" s="19"/>
      <c r="R140" s="19"/>
      <c r="S140" s="19"/>
      <c r="T140" s="19"/>
      <c r="U140" s="19"/>
      <c r="V140" s="19"/>
      <c r="W140" s="19"/>
      <c r="X140" s="19"/>
      <c r="Y140" s="21"/>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F140" s="342"/>
    </row>
    <row r="141" spans="1:83" ht="15" customHeight="1" x14ac:dyDescent="0.25">
      <c r="C141" s="73" t="str">
        <f>C137&amp;".2"</f>
        <v>4.4.2</v>
      </c>
      <c r="D141" s="73" t="str">
        <f>C137&amp;".3"</f>
        <v>4.4.3</v>
      </c>
      <c r="E141" s="21"/>
      <c r="F141" s="342"/>
      <c r="G141" s="19"/>
      <c r="H141" s="19"/>
      <c r="I141" s="19"/>
      <c r="J141" s="350" t="str">
        <f>CONCATENATE($B$2,".",$C141,".")</f>
        <v>2.4.4.2.</v>
      </c>
      <c r="K141" s="728" t="str">
        <f>txt_outil&amp;IF(res_utiliser_boues=menu_utilisateur,donnees_infos,donnees_calculs)</f>
        <v>Données suggérées par l'outil - UTILISÉES DANS LES RÉSULTATS</v>
      </c>
      <c r="L141" s="728"/>
      <c r="M141" s="728"/>
      <c r="N141" s="728"/>
      <c r="O141" s="728"/>
      <c r="P141" s="728"/>
      <c r="Q141" s="728"/>
      <c r="R141" s="728"/>
      <c r="S141" s="728"/>
      <c r="T141" s="728"/>
      <c r="U141" s="728"/>
      <c r="V141" s="728"/>
      <c r="W141" s="728"/>
      <c r="X141" s="728"/>
      <c r="Y141" s="728"/>
      <c r="Z141" s="728"/>
      <c r="AA141" s="728"/>
      <c r="AB141" s="728"/>
      <c r="AC141" s="728"/>
      <c r="AD141" s="728"/>
      <c r="AE141" s="19"/>
      <c r="AF141" s="19"/>
      <c r="AG141" s="19"/>
      <c r="AH141" s="19"/>
      <c r="AI141" s="350" t="str">
        <f>CONCATENATE($B$2,".",$D141,".")</f>
        <v>2.4.4.3.</v>
      </c>
      <c r="AJ141" s="728" t="str">
        <f>txt_utilisateur&amp;IF(res_utiliser_boues=menu_utilisateur,donnees_calculs,donnees_infos)</f>
        <v xml:space="preserve">Données saisies par l'utilisateur (fournies à titre indicatif seulement) </v>
      </c>
      <c r="AK141" s="728"/>
      <c r="AL141" s="728"/>
      <c r="AM141" s="728"/>
      <c r="AN141" s="728"/>
      <c r="AO141" s="728"/>
      <c r="AP141" s="728"/>
      <c r="AQ141" s="728"/>
      <c r="AR141" s="728"/>
      <c r="AS141" s="728"/>
      <c r="AT141" s="728"/>
      <c r="AU141" s="728"/>
      <c r="AV141" s="728"/>
      <c r="AW141" s="728"/>
      <c r="AX141" s="728"/>
      <c r="AY141" s="728"/>
      <c r="AZ141" s="728"/>
      <c r="BA141" s="728"/>
      <c r="BB141" s="728"/>
      <c r="BC141" s="728"/>
      <c r="BF141" s="342"/>
      <c r="BH141" s="106"/>
      <c r="BI141" s="737"/>
      <c r="BJ141" s="737"/>
      <c r="BK141" s="737"/>
      <c r="BL141" s="737"/>
      <c r="BM141" s="737"/>
      <c r="BN141" s="737"/>
      <c r="BO141" s="737"/>
      <c r="BP141" s="737"/>
      <c r="BQ141" s="737"/>
      <c r="BR141" s="737"/>
      <c r="BS141" s="737"/>
      <c r="BT141" s="737"/>
      <c r="BU141" s="737"/>
      <c r="BV141" s="737"/>
      <c r="BW141" s="737"/>
      <c r="BX141" s="737"/>
      <c r="BY141" s="737"/>
      <c r="BZ141" s="737"/>
      <c r="CA141" s="737"/>
      <c r="CB141" s="737"/>
      <c r="CC141" s="737"/>
      <c r="CD141" s="737"/>
      <c r="CE141" s="108"/>
    </row>
    <row r="142" spans="1:83" ht="15" customHeight="1" x14ac:dyDescent="0.25">
      <c r="F142" s="342"/>
      <c r="BF142" s="342"/>
      <c r="BH142" s="353"/>
      <c r="BI142" s="710" t="s">
        <v>488</v>
      </c>
      <c r="BJ142" s="710"/>
      <c r="BK142" s="710"/>
      <c r="BL142" s="710"/>
      <c r="BM142" s="710"/>
      <c r="BN142" s="710"/>
      <c r="BO142" s="710"/>
      <c r="BP142" s="710"/>
      <c r="BQ142" s="710"/>
      <c r="BR142" s="710"/>
      <c r="BS142" s="710"/>
      <c r="BT142" s="710"/>
      <c r="BU142" s="710"/>
      <c r="BV142" s="710"/>
      <c r="BW142" s="710"/>
      <c r="BX142" s="710"/>
      <c r="BY142" s="710"/>
      <c r="BZ142" s="710"/>
      <c r="CA142" s="710"/>
      <c r="CB142" s="710"/>
      <c r="CC142" s="710"/>
      <c r="CD142" s="710"/>
      <c r="CE142" s="354"/>
    </row>
    <row r="143" spans="1:83" ht="15" customHeight="1" x14ac:dyDescent="0.25">
      <c r="F143" s="342"/>
      <c r="AP143" s="715" t="s">
        <v>285</v>
      </c>
      <c r="AQ143" s="715"/>
      <c r="AR143" s="715"/>
      <c r="AS143" s="715"/>
      <c r="AU143" s="715" t="s">
        <v>286</v>
      </c>
      <c r="AV143" s="715"/>
      <c r="AW143" s="715"/>
      <c r="AX143" s="715"/>
      <c r="AZ143" s="715" t="s">
        <v>287</v>
      </c>
      <c r="BA143" s="715"/>
      <c r="BB143" s="715"/>
      <c r="BC143" s="715"/>
      <c r="BF143" s="342"/>
      <c r="BH143" s="353"/>
      <c r="BI143" s="348"/>
      <c r="BJ143" s="348"/>
      <c r="BK143" s="348"/>
      <c r="BL143" s="348"/>
      <c r="BM143" s="348"/>
      <c r="BN143" s="348"/>
      <c r="BO143" s="348"/>
      <c r="BP143" s="348"/>
      <c r="BQ143" s="715" t="str">
        <f>AP143</f>
        <v>Récupéré</v>
      </c>
      <c r="BR143" s="715"/>
      <c r="BS143" s="715"/>
      <c r="BT143" s="715"/>
      <c r="BU143" s="4"/>
      <c r="BV143" s="715" t="str">
        <f>AU143</f>
        <v>Éliminé</v>
      </c>
      <c r="BW143" s="715"/>
      <c r="BX143" s="715"/>
      <c r="BY143" s="715"/>
      <c r="BZ143" s="19"/>
      <c r="CA143" s="715" t="str">
        <f>AZ143</f>
        <v>Généré</v>
      </c>
      <c r="CB143" s="715"/>
      <c r="CC143" s="715"/>
      <c r="CD143" s="715"/>
      <c r="CE143" s="354"/>
    </row>
    <row r="144" spans="1:83" ht="15" customHeight="1" x14ac:dyDescent="0.25">
      <c r="F144" s="342"/>
      <c r="AK144" s="701" t="s">
        <v>3</v>
      </c>
      <c r="AL144" s="701"/>
      <c r="AM144" s="701"/>
      <c r="AN144" s="701"/>
      <c r="AO144" s="28"/>
      <c r="AP144" s="732" t="str">
        <f>BN103</f>
        <v>N.D.</v>
      </c>
      <c r="AQ144" s="732"/>
      <c r="AR144" s="732"/>
      <c r="AS144" s="732"/>
      <c r="AT144" s="28"/>
      <c r="AU144" s="732" t="str">
        <f>BT103</f>
        <v>N.D.</v>
      </c>
      <c r="AV144" s="732"/>
      <c r="AW144" s="732"/>
      <c r="AX144" s="732"/>
      <c r="AY144" s="28"/>
      <c r="AZ144" s="732" t="str">
        <f>IF(OR(AP144=N.D.,AU144=N.D.),N.D.,SUM(AP144,AU144))</f>
        <v>N.D.</v>
      </c>
      <c r="BA144" s="732"/>
      <c r="BB144" s="732"/>
      <c r="BC144" s="732"/>
      <c r="BF144" s="342"/>
      <c r="BH144" s="353"/>
      <c r="BI144" s="701" t="str">
        <f>AK144</f>
        <v>Total BSM</v>
      </c>
      <c r="BJ144" s="701"/>
      <c r="BK144" s="701"/>
      <c r="BL144" s="701"/>
      <c r="BM144" s="701"/>
      <c r="BN144" s="701"/>
      <c r="BO144" s="701"/>
      <c r="BP144" s="701"/>
      <c r="BQ144" s="752" t="str">
        <f>IF(res_utiliser_boues=menu_utilisateur,AP144,"N.A.")</f>
        <v>N.A.</v>
      </c>
      <c r="BR144" s="752"/>
      <c r="BS144" s="752"/>
      <c r="BT144" s="752"/>
      <c r="BU144" s="182"/>
      <c r="BV144" s="726" t="str">
        <f>IF(res_utiliser_boues=menu_utilisateur,AU144,"N.A.")</f>
        <v>N.A.</v>
      </c>
      <c r="BW144" s="726"/>
      <c r="BX144" s="726"/>
      <c r="BY144" s="726"/>
      <c r="BZ144" s="386"/>
      <c r="CA144" s="726" t="str">
        <f>IF(OR(BQ144=N.D.,BV144=N.D.),N.D.,IF(BQ144="N.A.","N.A.",SUM(BQ144,BV144)))</f>
        <v>N.A.</v>
      </c>
      <c r="CB144" s="726"/>
      <c r="CC144" s="726"/>
      <c r="CD144" s="726"/>
      <c r="CE144" s="354"/>
    </row>
    <row r="145" spans="1:83" ht="15" customHeight="1" x14ac:dyDescent="0.25">
      <c r="F145" s="342"/>
      <c r="J145" s="77"/>
      <c r="K145" s="820" t="s">
        <v>565</v>
      </c>
      <c r="L145" s="733"/>
      <c r="M145" s="733"/>
      <c r="N145" s="733"/>
      <c r="O145" s="733"/>
      <c r="P145" s="733"/>
      <c r="Q145" s="733"/>
      <c r="R145" s="733"/>
      <c r="S145" s="733"/>
      <c r="T145" s="733"/>
      <c r="U145" s="733"/>
      <c r="V145" s="733"/>
      <c r="W145" s="733"/>
      <c r="X145" s="733"/>
      <c r="Y145" s="733"/>
      <c r="Z145" s="733"/>
      <c r="AA145" s="733"/>
      <c r="AB145" s="733"/>
      <c r="AK145" s="701" t="s">
        <v>4</v>
      </c>
      <c r="AL145" s="701"/>
      <c r="AM145" s="701"/>
      <c r="AN145" s="701"/>
      <c r="AO145" s="28"/>
      <c r="AP145" s="732" t="str">
        <f>BN123</f>
        <v>N.D.</v>
      </c>
      <c r="AQ145" s="732"/>
      <c r="AR145" s="732"/>
      <c r="AS145" s="732"/>
      <c r="AT145" s="28"/>
      <c r="AU145" s="732" t="str">
        <f>BT123</f>
        <v>N.D.</v>
      </c>
      <c r="AV145" s="732"/>
      <c r="AW145" s="732"/>
      <c r="AX145" s="732"/>
      <c r="AY145" s="28"/>
      <c r="AZ145" s="732" t="str">
        <f>IF(OR(AP145=N.D.,AU145=N.D.),N.D.,SUM(AP145,AU145))</f>
        <v>N.D.</v>
      </c>
      <c r="BA145" s="732"/>
      <c r="BB145" s="732"/>
      <c r="BC145" s="732"/>
      <c r="BF145" s="342"/>
      <c r="BH145" s="353"/>
      <c r="BI145" s="729" t="str">
        <f>AK145</f>
        <v>Total BEA</v>
      </c>
      <c r="BJ145" s="701"/>
      <c r="BK145" s="701"/>
      <c r="BL145" s="701"/>
      <c r="BM145" s="701"/>
      <c r="BN145" s="701"/>
      <c r="BO145" s="701"/>
      <c r="BP145" s="701"/>
      <c r="BQ145" s="925" t="str">
        <f>IF(res_utiliser_boues=menu_utilisateur,AP145,"N.A.")</f>
        <v>N.A.</v>
      </c>
      <c r="BR145" s="925"/>
      <c r="BS145" s="925"/>
      <c r="BT145" s="925"/>
      <c r="BU145" s="379"/>
      <c r="BV145" s="726" t="str">
        <f>IF(res_utiliser_boues=menu_utilisateur,AU145,"N.A.")</f>
        <v>N.A.</v>
      </c>
      <c r="BW145" s="726"/>
      <c r="BX145" s="726"/>
      <c r="BY145" s="726"/>
      <c r="BZ145" s="387"/>
      <c r="CA145" s="926" t="str">
        <f>IF(OR(BQ145=N.D.,BV145=N.D.),N.D.,IF(BQ145="N.A.","N.A.",SUM(BQ145,BV145)))</f>
        <v>N.A.</v>
      </c>
      <c r="CB145" s="926"/>
      <c r="CC145" s="926"/>
      <c r="CD145" s="926"/>
      <c r="CE145" s="354"/>
    </row>
    <row r="146" spans="1:83" ht="15" customHeight="1" x14ac:dyDescent="0.25">
      <c r="F146" s="342"/>
      <c r="AK146" s="701" t="s">
        <v>5</v>
      </c>
      <c r="AL146" s="701"/>
      <c r="AM146" s="701"/>
      <c r="AN146" s="701"/>
      <c r="AO146" s="28"/>
      <c r="AP146" s="732" t="str">
        <f>BQ133</f>
        <v>N.D.</v>
      </c>
      <c r="AQ146" s="732"/>
      <c r="AR146" s="732"/>
      <c r="AS146" s="732"/>
      <c r="AT146" s="28"/>
      <c r="AU146" s="732" t="str">
        <f>BQ134</f>
        <v>N.D.</v>
      </c>
      <c r="AV146" s="732"/>
      <c r="AW146" s="732"/>
      <c r="AX146" s="732"/>
      <c r="AY146" s="28"/>
      <c r="AZ146" s="732" t="str">
        <f>IF(OR(AP146=N.D.,AU146=N.D.),N.D.,SUM(AP146,AU146))</f>
        <v>N.D.</v>
      </c>
      <c r="BA146" s="732"/>
      <c r="BB146" s="732"/>
      <c r="BC146" s="732"/>
      <c r="BF146" s="342"/>
      <c r="BH146" s="353"/>
      <c r="BI146" s="729" t="str">
        <f>AK146</f>
        <v>Total BFS</v>
      </c>
      <c r="BJ146" s="701"/>
      <c r="BK146" s="701"/>
      <c r="BL146" s="701"/>
      <c r="BM146" s="701"/>
      <c r="BN146" s="701"/>
      <c r="BO146" s="701"/>
      <c r="BP146" s="701"/>
      <c r="BQ146" s="752" t="str">
        <f>IF(res_utiliser_boues=menu_utilisateur,AP146,"N.A.")</f>
        <v>N.A.</v>
      </c>
      <c r="BR146" s="752"/>
      <c r="BS146" s="752"/>
      <c r="BT146" s="752"/>
      <c r="BU146" s="379"/>
      <c r="BV146" s="726" t="str">
        <f>IF(res_utiliser_boues=menu_utilisateur,AU146,"N.A.")</f>
        <v>N.A.</v>
      </c>
      <c r="BW146" s="726"/>
      <c r="BX146" s="726"/>
      <c r="BY146" s="726"/>
      <c r="BZ146" s="387"/>
      <c r="CA146" s="926" t="str">
        <f>IF(OR(BQ146=N.D.,BV146=N.D.),N.D.,IF(BQ146="N.A.","N.A.",SUM(BQ146,BV146)))</f>
        <v>N.A.</v>
      </c>
      <c r="CB146" s="926"/>
      <c r="CC146" s="926"/>
      <c r="CD146" s="926"/>
      <c r="CE146" s="354"/>
    </row>
    <row r="147" spans="1:83" ht="15" customHeight="1" x14ac:dyDescent="0.25">
      <c r="F147" s="342"/>
      <c r="I147" s="26"/>
      <c r="S147" s="715" t="s">
        <v>285</v>
      </c>
      <c r="T147" s="715"/>
      <c r="U147" s="715"/>
      <c r="V147" s="715"/>
      <c r="X147" s="715" t="s">
        <v>286</v>
      </c>
      <c r="Y147" s="715"/>
      <c r="Z147" s="715"/>
      <c r="AA147" s="715"/>
      <c r="AC147" s="715" t="s">
        <v>287</v>
      </c>
      <c r="AD147" s="715"/>
      <c r="AE147" s="715"/>
      <c r="AF147" s="715"/>
      <c r="AO147" s="189"/>
      <c r="AP147" s="189"/>
      <c r="AQ147" s="189"/>
      <c r="AR147" s="189"/>
      <c r="AS147" s="189"/>
      <c r="BF147" s="342"/>
      <c r="BH147" s="353"/>
      <c r="BV147" s="340"/>
      <c r="BW147" s="340"/>
      <c r="BX147" s="340"/>
      <c r="BY147" s="340"/>
      <c r="BZ147" s="340"/>
      <c r="CA147" s="340"/>
      <c r="CB147" s="340"/>
      <c r="CC147" s="340"/>
      <c r="CD147" s="340"/>
      <c r="CE147" s="354"/>
    </row>
    <row r="148" spans="1:83" ht="15" customHeight="1" x14ac:dyDescent="0.25">
      <c r="F148" s="342"/>
      <c r="I148" s="693" t="s">
        <v>566</v>
      </c>
      <c r="J148" s="693"/>
      <c r="K148" s="693"/>
      <c r="L148" s="693"/>
      <c r="M148" s="693"/>
      <c r="N148" s="693"/>
      <c r="O148" s="693"/>
      <c r="P148" s="693"/>
      <c r="Q148" s="693"/>
      <c r="R148" s="693"/>
      <c r="S148" s="732" t="str">
        <f>IF(gen_pop_MRC="",N.D.,(gen_pop_MRC*Paramètres!E39)/1000)</f>
        <v>N.D.</v>
      </c>
      <c r="T148" s="732"/>
      <c r="U148" s="732"/>
      <c r="V148" s="732"/>
      <c r="W148" s="62"/>
      <c r="X148" s="732" t="str">
        <f>IF(gen_pop_MRC="",N.D.,(gen_pop_MRC*Paramètres!E66)/1000)</f>
        <v>N.D.</v>
      </c>
      <c r="Y148" s="732"/>
      <c r="Z148" s="732"/>
      <c r="AA148" s="732"/>
      <c r="AB148" s="62"/>
      <c r="AC148" s="732" t="str">
        <f>IF(OR(S148=N.D.,X148=N.D.),N.D.,SUM(S148,X148))</f>
        <v>N.D.</v>
      </c>
      <c r="AD148" s="732"/>
      <c r="AE148" s="732"/>
      <c r="AF148" s="732"/>
      <c r="AK148" s="691" t="s">
        <v>6</v>
      </c>
      <c r="AL148" s="691"/>
      <c r="AM148" s="691"/>
      <c r="AN148" s="691"/>
      <c r="AO148" s="31"/>
      <c r="AP148" s="751" t="str">
        <f>IF(COUNTIF(AP144:AP146,N.D.)&gt;0,N.D.,SUM(AP144:AP146))</f>
        <v>N.D.</v>
      </c>
      <c r="AQ148" s="751"/>
      <c r="AR148" s="751"/>
      <c r="AS148" s="751"/>
      <c r="AT148" s="31"/>
      <c r="AU148" s="751" t="str">
        <f>IF(COUNTIF(AU144:AU146,N.D.)&gt;0,N.D.,SUM(AU144:AU146))</f>
        <v>N.D.</v>
      </c>
      <c r="AV148" s="751"/>
      <c r="AW148" s="751"/>
      <c r="AX148" s="751"/>
      <c r="AY148" s="31"/>
      <c r="AZ148" s="751" t="str">
        <f>IF(OR(AP148=N.D.,AU148=N.D.),N.D.,SUM(AP148,AU148))</f>
        <v>N.D.</v>
      </c>
      <c r="BA148" s="751"/>
      <c r="BB148" s="751"/>
      <c r="BC148" s="751"/>
      <c r="BF148" s="342"/>
      <c r="BH148" s="353"/>
      <c r="BI148" s="730" t="str">
        <f>$I$226</f>
        <v>Total</v>
      </c>
      <c r="BJ148" s="730"/>
      <c r="BK148" s="730"/>
      <c r="BL148" s="730"/>
      <c r="BM148" s="730"/>
      <c r="BN148" s="730"/>
      <c r="BO148" s="730"/>
      <c r="BP148" s="730"/>
      <c r="BQ148" s="750" t="str">
        <f>IF(res_utiliser_boues=menu_utilisateur,AP148,S148)</f>
        <v>N.D.</v>
      </c>
      <c r="BR148" s="750"/>
      <c r="BS148" s="750"/>
      <c r="BT148" s="750"/>
      <c r="BU148" s="388"/>
      <c r="BV148" s="751" t="str">
        <f>IF(res_utiliser_boues=menu_utilisateur,AU148,X148)</f>
        <v>N.D.</v>
      </c>
      <c r="BW148" s="751"/>
      <c r="BX148" s="751"/>
      <c r="BY148" s="751"/>
      <c r="BZ148" s="389"/>
      <c r="CA148" s="751" t="str">
        <f>IF(OR(BQ148=N.D.,BV148=N.D.),N.D.,SUM(BQ148,BV148))</f>
        <v>N.D.</v>
      </c>
      <c r="CB148" s="751"/>
      <c r="CC148" s="751"/>
      <c r="CD148" s="751"/>
      <c r="CE148" s="179"/>
    </row>
    <row r="149" spans="1:83" ht="15" customHeight="1" thickBot="1" x14ac:dyDescent="0.3">
      <c r="F149" s="342"/>
      <c r="I149" s="770" t="str">
        <f>IF(gen_pop_MRC="",N.D.,"")</f>
        <v>N.D.</v>
      </c>
      <c r="J149" s="770"/>
      <c r="K149" s="735" t="str">
        <f>IF(I149=N.D.,txt_N.D.&amp;'Données générales'!AH8,"")</f>
        <v>Non disponible : vérifiez les données à la question 1.5</v>
      </c>
      <c r="L149" s="735"/>
      <c r="M149" s="735"/>
      <c r="N149" s="735"/>
      <c r="O149" s="735"/>
      <c r="P149" s="735"/>
      <c r="Q149" s="735"/>
      <c r="R149" s="735"/>
      <c r="S149" s="735"/>
      <c r="T149" s="735"/>
      <c r="U149" s="735"/>
      <c r="V149" s="735"/>
      <c r="W149" s="735"/>
      <c r="X149" s="735"/>
      <c r="Y149" s="735"/>
      <c r="Z149" s="735"/>
      <c r="AA149" s="735"/>
      <c r="AB149" s="735"/>
      <c r="AC149" s="735"/>
      <c r="AD149" s="735"/>
      <c r="BF149" s="342"/>
      <c r="BH149" s="58"/>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5"/>
    </row>
    <row r="150" spans="1:83" ht="15" customHeight="1" x14ac:dyDescent="0.25">
      <c r="F150" s="342"/>
      <c r="AE150" s="767" t="str">
        <f>txt_aide</f>
        <v>Aide à la validation des données :</v>
      </c>
      <c r="AF150" s="767"/>
      <c r="AG150" s="767"/>
      <c r="AH150" s="767"/>
      <c r="AI150" s="767"/>
      <c r="AJ150" s="767"/>
      <c r="AK150" s="767"/>
      <c r="AL150" s="767"/>
      <c r="AM150" s="767"/>
      <c r="AN150" s="767"/>
      <c r="AO150" s="767"/>
      <c r="AP150" s="764" t="str">
        <f>IF(OR(S148=N.D.,AP148="",AP148=N.D.),N.D.,IF(AND(S148=0,AP148=0),0,IF(OR(S148=0,AP148=0),N.A.,IF(AP148&lt;S148,(S148-AP148)/AP148,(AP148-S148)/S148))))</f>
        <v>N.D.</v>
      </c>
      <c r="AQ150" s="764"/>
      <c r="AR150" s="764"/>
      <c r="AS150" s="764"/>
      <c r="AT150" s="97"/>
      <c r="AU150" s="764" t="str">
        <f>IF(OR(X148=N.D.,AU148="",AU148=N.D.),N.D.,IF(AND(X148=0,AU148=0),0,IF(OR(X148=0,AU148=0),N.A.,IF(AU148&lt;X148,(X148-AU148)/AU148,(AU148-X148)/X148))))</f>
        <v>N.D.</v>
      </c>
      <c r="AV150" s="764"/>
      <c r="AW150" s="764"/>
      <c r="AX150" s="764"/>
      <c r="AY150" s="76"/>
      <c r="AZ150" s="764" t="str">
        <f>IF(OR(AC148=N.D.,AZ148="",AZ148=N.D.),N.D.,IF(AND(AC148=0,AZ148=0),0,IF(OR(AC148=0,AZ148=0),N.A.,IF(AZ148&lt;AC148,(AC148-AZ148)/AZ148,(AZ148-AC148)/AC148))))</f>
        <v>N.D.</v>
      </c>
      <c r="BA150" s="764"/>
      <c r="BB150" s="764"/>
      <c r="BC150" s="764"/>
      <c r="BF150" s="342"/>
    </row>
    <row r="151" spans="1:83" ht="15" customHeight="1" x14ac:dyDescent="0.25">
      <c r="F151" s="342"/>
      <c r="AH151" s="115" t="str">
        <f>IF(res_utiliser_boues&lt;&gt;menu_outil,IF((COUNTIF(AP150,N.D.)+(COUNTIF(AU150,N.D.)))=0,"",N.D.),"")</f>
        <v>N.D.</v>
      </c>
      <c r="AI151" s="16" t="str">
        <f>puce1</f>
        <v>Ä</v>
      </c>
      <c r="AJ151" s="735" t="str">
        <f>IF(res_utiliser_boues=menu_outil,txt_validation,IF(I149=N.D.,IF(AZ150=N.D.,K149,""),IF(AH151=N.D.,txt_N.D.&amp;I84,"")))</f>
        <v>Non disponible : vérifiez les données à la question 1.5</v>
      </c>
      <c r="AK151" s="735"/>
      <c r="AL151" s="735"/>
      <c r="AM151" s="735"/>
      <c r="AN151" s="735"/>
      <c r="AO151" s="735"/>
      <c r="AP151" s="735"/>
      <c r="AQ151" s="735"/>
      <c r="AR151" s="735"/>
      <c r="AS151" s="735"/>
      <c r="AT151" s="735"/>
      <c r="AU151" s="735"/>
      <c r="AV151" s="735"/>
      <c r="AW151" s="735"/>
      <c r="AX151" s="735"/>
      <c r="AY151" s="735"/>
      <c r="AZ151" s="735"/>
      <c r="BA151" s="735"/>
      <c r="BB151" s="735"/>
      <c r="BC151" s="735"/>
      <c r="BF151" s="342"/>
    </row>
    <row r="152" spans="1:83" ht="15" customHeight="1" x14ac:dyDescent="0.25">
      <c r="F152" s="342"/>
      <c r="AH152" s="117" t="str">
        <f>IF(res_utiliser_boues&lt;&gt;menu_outil,IF((COUNTIF(AP150,N.A.)+(COUNTIF(AU150,N.A.)))=0,"",N.A.),"")</f>
        <v/>
      </c>
      <c r="AI152" s="87"/>
      <c r="AJ152" s="766" t="str">
        <f>IF(AH152=N.A.,txt_N.A.,"")</f>
        <v/>
      </c>
      <c r="AK152" s="766"/>
      <c r="AL152" s="766"/>
      <c r="AM152" s="766"/>
      <c r="AN152" s="766"/>
      <c r="AO152" s="766"/>
      <c r="AP152" s="766"/>
      <c r="AQ152" s="766"/>
      <c r="AR152" s="766"/>
      <c r="AS152" s="766"/>
      <c r="AT152" s="766"/>
      <c r="AU152" s="766"/>
      <c r="AV152" s="766"/>
      <c r="AW152" s="766"/>
      <c r="AX152" s="766"/>
      <c r="AY152" s="766"/>
      <c r="AZ152" s="766"/>
      <c r="BA152" s="766"/>
      <c r="BB152" s="766"/>
      <c r="BC152" s="766"/>
      <c r="BF152" s="342"/>
    </row>
    <row r="153" spans="1:83" ht="15" customHeight="1" x14ac:dyDescent="0.25">
      <c r="F153" s="342"/>
      <c r="AJ153" s="766"/>
      <c r="AK153" s="766"/>
      <c r="AL153" s="766"/>
      <c r="AM153" s="766"/>
      <c r="AN153" s="766"/>
      <c r="AO153" s="766"/>
      <c r="AP153" s="766"/>
      <c r="AQ153" s="766"/>
      <c r="AR153" s="766"/>
      <c r="AS153" s="766"/>
      <c r="AT153" s="766"/>
      <c r="AU153" s="766"/>
      <c r="AV153" s="766"/>
      <c r="AW153" s="766"/>
      <c r="AX153" s="766"/>
      <c r="AY153" s="766"/>
      <c r="AZ153" s="766"/>
      <c r="BA153" s="766"/>
      <c r="BB153" s="766"/>
      <c r="BC153" s="766"/>
      <c r="BF153" s="342"/>
    </row>
    <row r="154" spans="1:83" ht="15" customHeight="1" x14ac:dyDescent="0.25">
      <c r="F154" s="342"/>
      <c r="BF154" s="342"/>
    </row>
    <row r="155" spans="1:83" ht="5.25" customHeight="1" x14ac:dyDescent="0.25">
      <c r="F155" s="342"/>
      <c r="G155" s="342"/>
      <c r="H155" s="342"/>
      <c r="I155" s="342"/>
      <c r="J155" s="342"/>
      <c r="K155" s="342"/>
      <c r="L155" s="342"/>
      <c r="M155" s="342"/>
      <c r="N155" s="342"/>
      <c r="O155" s="342"/>
      <c r="P155" s="342"/>
      <c r="Q155" s="342"/>
      <c r="R155" s="342"/>
      <c r="S155" s="342"/>
      <c r="T155" s="342"/>
      <c r="U155" s="342"/>
      <c r="V155" s="342"/>
      <c r="W155" s="342"/>
      <c r="X155" s="342"/>
      <c r="Y155" s="342"/>
      <c r="Z155" s="342"/>
      <c r="AA155" s="342"/>
      <c r="AB155" s="342"/>
      <c r="AC155" s="342"/>
      <c r="AD155" s="342"/>
      <c r="AE155" s="342"/>
      <c r="AF155" s="342"/>
      <c r="AG155" s="342"/>
      <c r="AH155" s="342"/>
      <c r="AI155" s="342"/>
      <c r="AJ155" s="342"/>
      <c r="AK155" s="342"/>
      <c r="AL155" s="342"/>
      <c r="AM155" s="342"/>
      <c r="AN155" s="342"/>
      <c r="AO155" s="342"/>
      <c r="AP155" s="342"/>
      <c r="AQ155" s="342"/>
      <c r="AR155" s="342"/>
      <c r="AS155" s="342"/>
      <c r="AT155" s="342"/>
      <c r="AU155" s="342"/>
      <c r="AV155" s="342"/>
      <c r="AW155" s="342"/>
      <c r="AX155" s="342"/>
      <c r="AY155" s="342"/>
      <c r="AZ155" s="342"/>
      <c r="BA155" s="342"/>
      <c r="BB155" s="342"/>
      <c r="BC155" s="342"/>
      <c r="BD155" s="342"/>
      <c r="BE155" s="342"/>
      <c r="BF155" s="342"/>
    </row>
    <row r="156" spans="1:83" ht="15" customHeight="1" x14ac:dyDescent="0.25">
      <c r="F156" s="342"/>
      <c r="BF156" s="342"/>
    </row>
    <row r="157" spans="1:83" ht="15" customHeight="1" x14ac:dyDescent="0.25">
      <c r="C157" s="73">
        <f>C84+1</f>
        <v>5</v>
      </c>
      <c r="F157" s="342"/>
      <c r="I157" s="346" t="str">
        <f>CONCATENATE($B$2,".",$C157,".")</f>
        <v>2.5.</v>
      </c>
      <c r="J157" s="347" t="s">
        <v>546</v>
      </c>
      <c r="AR157" s="586"/>
      <c r="AS157" s="586"/>
      <c r="AT157" s="586"/>
      <c r="AU157" s="586"/>
      <c r="AV157" s="586"/>
      <c r="AW157" s="586"/>
      <c r="AX157" s="586"/>
      <c r="AY157" s="586"/>
      <c r="AZ157" s="586"/>
      <c r="BA157" s="586"/>
      <c r="BB157" s="586"/>
      <c r="BC157" s="586"/>
      <c r="BD157" s="586"/>
      <c r="BF157" s="342"/>
    </row>
    <row r="158" spans="1:83" ht="15" customHeight="1" x14ac:dyDescent="0.25">
      <c r="F158" s="342"/>
      <c r="AQ158" s="586"/>
      <c r="AR158" s="586"/>
      <c r="AS158" s="586"/>
      <c r="AT158" s="586"/>
      <c r="AU158" s="586"/>
      <c r="AV158" s="586"/>
      <c r="AW158" s="586"/>
      <c r="AX158" s="586"/>
      <c r="AY158" s="586"/>
      <c r="AZ158" s="586"/>
      <c r="BA158" s="586"/>
      <c r="BB158" s="586"/>
      <c r="BC158" s="586"/>
      <c r="BD158" s="586"/>
      <c r="BF158" s="342"/>
    </row>
    <row r="159" spans="1:83" ht="15" customHeight="1" x14ac:dyDescent="0.25">
      <c r="A159" s="5" t="s">
        <v>571</v>
      </c>
      <c r="C159" s="73" t="str">
        <f>C157&amp;".1"</f>
        <v>5.1</v>
      </c>
      <c r="D159" s="73"/>
      <c r="E159" s="21"/>
      <c r="F159" s="342"/>
      <c r="G159" s="19"/>
      <c r="H159" s="19"/>
      <c r="I159" s="19"/>
      <c r="J159" s="77" t="str">
        <f>CONCATENATE($B$2,".",$C159,".")</f>
        <v>2.5.1.</v>
      </c>
      <c r="K159" s="757" t="str">
        <f>question_outil_utilisateur</f>
        <v>Quelles données souhaitez-vous utiliser dans les résultats ?</v>
      </c>
      <c r="L159" s="757"/>
      <c r="M159" s="757"/>
      <c r="N159" s="757"/>
      <c r="O159" s="757"/>
      <c r="P159" s="757"/>
      <c r="Q159" s="757"/>
      <c r="R159" s="757"/>
      <c r="S159" s="757"/>
      <c r="T159" s="757"/>
      <c r="U159" s="757"/>
      <c r="V159" s="757"/>
      <c r="W159" s="757"/>
      <c r="X159" s="757"/>
      <c r="Y159" s="757"/>
      <c r="Z159" s="757"/>
      <c r="AA159" s="757"/>
      <c r="AB159" s="759"/>
      <c r="AC159" s="759"/>
      <c r="AD159" s="759"/>
      <c r="AE159" s="759"/>
      <c r="AF159" s="759"/>
      <c r="AG159" s="759"/>
      <c r="AH159" s="759"/>
      <c r="AI159" s="759"/>
      <c r="AJ159" s="759"/>
      <c r="AK159" s="19"/>
      <c r="AL159" s="142"/>
      <c r="AM159" s="142"/>
      <c r="AN159" s="142"/>
      <c r="AO159" s="142"/>
      <c r="AP159" s="142"/>
      <c r="AQ159" s="142"/>
      <c r="AR159" s="142"/>
      <c r="AS159" s="142"/>
      <c r="AT159" s="142"/>
      <c r="AU159" s="142"/>
      <c r="AV159" s="142"/>
      <c r="AW159" s="142"/>
      <c r="AX159" s="142"/>
      <c r="AY159" s="142"/>
      <c r="AZ159" s="142"/>
      <c r="BA159" s="142"/>
      <c r="BB159" s="142"/>
      <c r="BC159" s="142"/>
      <c r="BF159" s="342"/>
    </row>
    <row r="160" spans="1:83" ht="15" customHeight="1" thickBot="1" x14ac:dyDescent="0.3">
      <c r="C160" s="73"/>
      <c r="D160" s="73"/>
      <c r="E160" s="21"/>
      <c r="F160" s="342"/>
      <c r="G160" s="19"/>
      <c r="H160" s="19"/>
      <c r="I160" s="19"/>
      <c r="J160" s="19"/>
      <c r="K160" s="19"/>
      <c r="L160" s="19"/>
      <c r="M160" s="19"/>
      <c r="N160" s="19"/>
      <c r="O160" s="19"/>
      <c r="P160" s="19"/>
      <c r="Q160" s="19"/>
      <c r="R160" s="19"/>
      <c r="S160" s="19"/>
      <c r="T160" s="19"/>
      <c r="U160" s="19"/>
      <c r="V160" s="19"/>
      <c r="W160" s="19"/>
      <c r="X160" s="19"/>
      <c r="Y160" s="21"/>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F160" s="342"/>
    </row>
    <row r="161" spans="1:312" ht="15" customHeight="1" x14ac:dyDescent="0.25">
      <c r="C161" s="73" t="str">
        <f>C157&amp;".2"</f>
        <v>5.2</v>
      </c>
      <c r="D161" s="73" t="str">
        <f>C157&amp;".3"</f>
        <v>5.3</v>
      </c>
      <c r="E161" s="21"/>
      <c r="F161" s="342"/>
      <c r="G161" s="19"/>
      <c r="H161" s="19"/>
      <c r="I161" s="19"/>
      <c r="J161" s="77" t="str">
        <f>CONCATENATE($B$2,".",$C161,".")</f>
        <v>2.5.2.</v>
      </c>
      <c r="K161" s="733" t="str">
        <f>txt_outil&amp;IF(res_utiliser_VHU=menu_utilisateur,donnees_infos,donnees_calculs)</f>
        <v>Données suggérées par l'outil - UTILISÉES DANS LES RÉSULTATS</v>
      </c>
      <c r="L161" s="733"/>
      <c r="M161" s="733"/>
      <c r="N161" s="733"/>
      <c r="O161" s="733"/>
      <c r="P161" s="733"/>
      <c r="Q161" s="733"/>
      <c r="R161" s="733"/>
      <c r="S161" s="733"/>
      <c r="T161" s="733"/>
      <c r="U161" s="733"/>
      <c r="V161" s="733"/>
      <c r="W161" s="733"/>
      <c r="X161" s="733"/>
      <c r="Y161" s="733"/>
      <c r="Z161" s="733"/>
      <c r="AA161" s="733"/>
      <c r="AB161" s="733"/>
      <c r="AC161" s="733"/>
      <c r="AD161" s="733"/>
      <c r="AE161" s="19"/>
      <c r="AF161" s="19"/>
      <c r="AG161" s="19"/>
      <c r="AH161" s="19"/>
      <c r="AI161" s="77" t="str">
        <f>CONCATENATE($B$2,".",$D161,".")</f>
        <v>2.5.3.</v>
      </c>
      <c r="AJ161" s="733" t="str">
        <f>txt_utilisateur&amp;IF(res_utiliser_VHU=menu_utilisateur,donnees_calculs,donnees_infos)</f>
        <v xml:space="preserve">Données saisies par l'utilisateur (fournies à titre indicatif seulement) </v>
      </c>
      <c r="AK161" s="733"/>
      <c r="AL161" s="733"/>
      <c r="AM161" s="733"/>
      <c r="AN161" s="733"/>
      <c r="AO161" s="733"/>
      <c r="AP161" s="733"/>
      <c r="AQ161" s="733"/>
      <c r="AR161" s="733"/>
      <c r="AS161" s="733"/>
      <c r="AT161" s="733"/>
      <c r="AU161" s="733"/>
      <c r="AV161" s="733"/>
      <c r="AW161" s="733"/>
      <c r="AX161" s="733"/>
      <c r="AY161" s="733"/>
      <c r="AZ161" s="733"/>
      <c r="BA161" s="733"/>
      <c r="BB161" s="733"/>
      <c r="BC161" s="733"/>
      <c r="BF161" s="342"/>
      <c r="BH161" s="106"/>
      <c r="BI161" s="737"/>
      <c r="BJ161" s="737"/>
      <c r="BK161" s="737"/>
      <c r="BL161" s="737"/>
      <c r="BM161" s="737"/>
      <c r="BN161" s="737"/>
      <c r="BO161" s="737"/>
      <c r="BP161" s="737"/>
      <c r="BQ161" s="737"/>
      <c r="BR161" s="737"/>
      <c r="BS161" s="737"/>
      <c r="BT161" s="737"/>
      <c r="BU161" s="737"/>
      <c r="BV161" s="737"/>
      <c r="BW161" s="737"/>
      <c r="BX161" s="737"/>
      <c r="BY161" s="737"/>
      <c r="BZ161" s="737"/>
      <c r="CA161" s="737"/>
      <c r="CB161" s="737"/>
      <c r="CC161" s="737"/>
      <c r="CD161" s="737"/>
      <c r="CE161" s="108"/>
    </row>
    <row r="162" spans="1:312" ht="15" customHeight="1" x14ac:dyDescent="0.75">
      <c r="C162" s="73"/>
      <c r="D162" s="73"/>
      <c r="E162" s="21"/>
      <c r="F162" s="342"/>
      <c r="G162" s="19"/>
      <c r="H162" s="19"/>
      <c r="I162" s="19"/>
      <c r="J162" s="77"/>
      <c r="K162" s="22"/>
      <c r="L162" s="19"/>
      <c r="M162" s="19"/>
      <c r="N162" s="19"/>
      <c r="O162" s="19"/>
      <c r="P162" s="19"/>
      <c r="Q162" s="19"/>
      <c r="R162" s="19"/>
      <c r="S162" s="19"/>
      <c r="T162" s="19"/>
      <c r="U162" s="19"/>
      <c r="V162" s="19"/>
      <c r="W162" s="19"/>
      <c r="X162" s="55"/>
      <c r="Y162" s="55"/>
      <c r="Z162" s="55"/>
      <c r="AA162" s="19"/>
      <c r="AB162" s="19"/>
      <c r="AC162" s="19"/>
      <c r="AD162" s="19"/>
      <c r="AE162" s="19"/>
      <c r="AF162" s="19"/>
      <c r="AG162" s="19"/>
      <c r="AH162" s="19"/>
      <c r="AI162" s="77"/>
      <c r="AJ162" s="22"/>
      <c r="AK162" s="19"/>
      <c r="AL162" s="19"/>
      <c r="AM162" s="19"/>
      <c r="AN162" s="61"/>
      <c r="AO162" s="19"/>
      <c r="AP162" s="61"/>
      <c r="AQ162" s="19"/>
      <c r="AR162" s="19"/>
      <c r="AS162" s="19"/>
      <c r="AT162" s="19"/>
      <c r="AU162" s="19"/>
      <c r="AV162" s="19"/>
      <c r="AW162" s="19"/>
      <c r="AX162" s="19"/>
      <c r="AY162" s="61"/>
      <c r="AZ162" s="19"/>
      <c r="BA162" s="19"/>
      <c r="BB162" s="19"/>
      <c r="BC162" s="19"/>
      <c r="BF162" s="342"/>
      <c r="BH162" s="353"/>
      <c r="BI162" s="710" t="s">
        <v>488</v>
      </c>
      <c r="BJ162" s="710"/>
      <c r="BK162" s="710"/>
      <c r="BL162" s="710"/>
      <c r="BM162" s="710"/>
      <c r="BN162" s="710"/>
      <c r="BO162" s="710"/>
      <c r="BP162" s="710"/>
      <c r="BQ162" s="710"/>
      <c r="BR162" s="710"/>
      <c r="BS162" s="710"/>
      <c r="BT162" s="710"/>
      <c r="BU162" s="710"/>
      <c r="BV162" s="710"/>
      <c r="BW162" s="710"/>
      <c r="BX162" s="710"/>
      <c r="BY162" s="710"/>
      <c r="BZ162" s="710"/>
      <c r="CA162" s="710"/>
      <c r="CB162" s="710"/>
      <c r="CC162" s="710"/>
      <c r="CD162" s="710"/>
      <c r="CE162" s="354"/>
    </row>
    <row r="163" spans="1:312" ht="15" customHeight="1" x14ac:dyDescent="0.25">
      <c r="C163" s="72"/>
      <c r="D163" s="72"/>
      <c r="E163" s="36"/>
      <c r="F163" s="342"/>
      <c r="I163" s="26"/>
      <c r="Q163" s="710" t="s">
        <v>610</v>
      </c>
      <c r="R163" s="715"/>
      <c r="S163" s="715"/>
      <c r="T163" s="715"/>
      <c r="V163" s="710" t="s">
        <v>611</v>
      </c>
      <c r="W163" s="715"/>
      <c r="X163" s="715"/>
      <c r="Y163" s="715"/>
      <c r="AA163" s="710" t="s">
        <v>612</v>
      </c>
      <c r="AB163" s="715"/>
      <c r="AC163" s="715"/>
      <c r="AD163" s="715"/>
      <c r="AH163" s="26"/>
      <c r="AP163" s="715" t="str">
        <f>Q163</f>
        <v>Récupéré (t)</v>
      </c>
      <c r="AQ163" s="715"/>
      <c r="AR163" s="715"/>
      <c r="AS163" s="715"/>
      <c r="AT163" s="4"/>
      <c r="AU163" s="715" t="str">
        <f>V163</f>
        <v>Éliminé (t)</v>
      </c>
      <c r="AV163" s="715"/>
      <c r="AW163" s="715"/>
      <c r="AX163" s="715"/>
      <c r="AY163" s="19"/>
      <c r="AZ163" s="715" t="str">
        <f>AA163</f>
        <v>Généré (t)</v>
      </c>
      <c r="BA163" s="715"/>
      <c r="BB163" s="715"/>
      <c r="BC163" s="715"/>
      <c r="BF163" s="342"/>
      <c r="BH163" s="353"/>
      <c r="BI163" s="348"/>
      <c r="BJ163" s="348"/>
      <c r="BK163" s="348"/>
      <c r="BL163" s="348"/>
      <c r="BM163" s="348"/>
      <c r="BN163" s="348"/>
      <c r="BO163" s="348"/>
      <c r="BP163" s="348"/>
      <c r="BQ163" s="715" t="str">
        <f>Q163</f>
        <v>Récupéré (t)</v>
      </c>
      <c r="BR163" s="715"/>
      <c r="BS163" s="715"/>
      <c r="BT163" s="715"/>
      <c r="BU163" s="4"/>
      <c r="BV163" s="715" t="str">
        <f>V163</f>
        <v>Éliminé (t)</v>
      </c>
      <c r="BW163" s="715"/>
      <c r="BX163" s="715"/>
      <c r="BY163" s="715"/>
      <c r="BZ163" s="19"/>
      <c r="CA163" s="715" t="str">
        <f>AA163</f>
        <v>Généré (t)</v>
      </c>
      <c r="CB163" s="715"/>
      <c r="CC163" s="715"/>
      <c r="CD163" s="715"/>
      <c r="CE163" s="354"/>
    </row>
    <row r="164" spans="1:312" ht="15" customHeight="1" x14ac:dyDescent="0.25">
      <c r="C164" s="72"/>
      <c r="D164" s="72"/>
      <c r="E164" s="36"/>
      <c r="F164" s="342"/>
      <c r="I164" s="693" t="s">
        <v>570</v>
      </c>
      <c r="J164" s="693"/>
      <c r="K164" s="693"/>
      <c r="L164" s="693"/>
      <c r="M164" s="693"/>
      <c r="N164" s="693"/>
      <c r="O164" s="693"/>
      <c r="P164" s="693"/>
      <c r="Q164" s="711" t="str">
        <f>IF(gen_pop_MRC="",N.D.,gen_pop_MRC*Paramètres!E41/1000)</f>
        <v>N.D.</v>
      </c>
      <c r="R164" s="711"/>
      <c r="S164" s="711"/>
      <c r="T164" s="711"/>
      <c r="U164" s="63"/>
      <c r="V164" s="711" t="str">
        <f>IF(gen_pop_MRC="",N.D.,gen_pop_MRC*Paramètres!E68/1000)</f>
        <v>N.D.</v>
      </c>
      <c r="W164" s="711"/>
      <c r="X164" s="711"/>
      <c r="Y164" s="711"/>
      <c r="Z164" s="63"/>
      <c r="AA164" s="711" t="str">
        <f>IF(OR(Q164=N.D.,V164=N.D.),N.D.,SUM(Q164,V164))</f>
        <v>N.D.</v>
      </c>
      <c r="AB164" s="711"/>
      <c r="AC164" s="711"/>
      <c r="AD164" s="711"/>
      <c r="AH164" s="731" t="str">
        <f>I164</f>
        <v>Véhicules hors d'usage</v>
      </c>
      <c r="AI164" s="731"/>
      <c r="AJ164" s="731"/>
      <c r="AK164" s="731"/>
      <c r="AL164" s="731"/>
      <c r="AM164" s="731"/>
      <c r="AN164" s="731"/>
      <c r="AO164" s="731"/>
      <c r="AP164" s="722"/>
      <c r="AQ164" s="722"/>
      <c r="AR164" s="722"/>
      <c r="AS164" s="722"/>
      <c r="AT164" s="74"/>
      <c r="AU164" s="722"/>
      <c r="AV164" s="722"/>
      <c r="AW164" s="722"/>
      <c r="AX164" s="722"/>
      <c r="AY164" s="62"/>
      <c r="AZ164" s="755" t="str">
        <f>IF(AND(AP164="",AU164=""),"",IF(OR(AP164="",AU164=""),N.D.,SUM(AP164,AU164)))</f>
        <v/>
      </c>
      <c r="BA164" s="755"/>
      <c r="BB164" s="755"/>
      <c r="BC164" s="755"/>
      <c r="BF164" s="342"/>
      <c r="BH164" s="353"/>
      <c r="BI164" s="693" t="str">
        <f>I164</f>
        <v>Véhicules hors d'usage</v>
      </c>
      <c r="BJ164" s="693"/>
      <c r="BK164" s="693"/>
      <c r="BL164" s="693"/>
      <c r="BM164" s="693"/>
      <c r="BN164" s="693"/>
      <c r="BO164" s="693"/>
      <c r="BP164" s="693"/>
      <c r="BQ164" s="711" t="str">
        <f>IF(res_utiliser_VHU=menu_utilisateur,IF(OR(AP164="",AP164=N.D.),N.D.,AP164),IF(OR(res_utiliser_VHU="",Q164="",Q164=N.D.),N.D.,Q164))</f>
        <v>N.D.</v>
      </c>
      <c r="BR164" s="711"/>
      <c r="BS164" s="711"/>
      <c r="BT164" s="711"/>
      <c r="BU164" s="348"/>
      <c r="BV164" s="711" t="str">
        <f>IF(res_utiliser_VHU=menu_utilisateur,IF(OR(AU164="",AU164=N.D.),N.D.,AU164),IF(OR(res_utiliser_VHU="",V164="",V164=N.D.),N.D.,V164))</f>
        <v>N.D.</v>
      </c>
      <c r="BW164" s="711"/>
      <c r="BX164" s="711"/>
      <c r="BY164" s="711"/>
      <c r="BZ164" s="348"/>
      <c r="CA164" s="711" t="str">
        <f>IF(OR(BQ164=N.D.,BV164=N.D.),N.D.,SUM(BQ164,BV164))</f>
        <v>N.D.</v>
      </c>
      <c r="CB164" s="711"/>
      <c r="CC164" s="711"/>
      <c r="CD164" s="711"/>
      <c r="CE164" s="354"/>
    </row>
    <row r="165" spans="1:312" ht="15" customHeight="1" thickBot="1" x14ac:dyDescent="0.3">
      <c r="F165" s="342"/>
      <c r="I165" s="770" t="str">
        <f>IF(OR(Q164=N.D.,V164=N.D.),N.D.,"")</f>
        <v>N.D.</v>
      </c>
      <c r="J165" s="770"/>
      <c r="K165" s="735" t="str">
        <f>IF(I165=N.D.,txt_N.D.&amp;'Données générales'!AH8,"")</f>
        <v>Non disponible : vérifiez les données à la question 1.5</v>
      </c>
      <c r="L165" s="735"/>
      <c r="M165" s="735"/>
      <c r="N165" s="735"/>
      <c r="O165" s="735"/>
      <c r="P165" s="735"/>
      <c r="Q165" s="735"/>
      <c r="R165" s="735"/>
      <c r="S165" s="735"/>
      <c r="T165" s="735"/>
      <c r="U165" s="735"/>
      <c r="V165" s="735"/>
      <c r="W165" s="735"/>
      <c r="X165" s="735"/>
      <c r="Y165" s="735"/>
      <c r="Z165" s="735"/>
      <c r="AA165" s="735"/>
      <c r="AB165" s="735"/>
      <c r="AC165" s="735"/>
      <c r="AD165" s="735"/>
      <c r="AH165" s="94" t="str">
        <f>IF((COUNTIF(AP159:AP162,"")+(COUNTIF(AU159:AU162,"")))=0,"plein","vide")</f>
        <v>vide</v>
      </c>
      <c r="BF165" s="342"/>
      <c r="BH165" s="58"/>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5"/>
    </row>
    <row r="166" spans="1:312" ht="15" customHeight="1" x14ac:dyDescent="0.25">
      <c r="F166" s="342"/>
      <c r="AE166" s="767" t="str">
        <f>txt_aide</f>
        <v>Aide à la validation des données :</v>
      </c>
      <c r="AF166" s="767"/>
      <c r="AG166" s="767"/>
      <c r="AH166" s="767"/>
      <c r="AI166" s="767"/>
      <c r="AJ166" s="767"/>
      <c r="AK166" s="767"/>
      <c r="AL166" s="767"/>
      <c r="AM166" s="767"/>
      <c r="AN166" s="767"/>
      <c r="AO166" s="767"/>
      <c r="AP166" s="764" t="str">
        <f>IF(OR(Q164=N.D.,AP164="",AP164=N.D.),N.D.,IF(AND(Q164=0,AP164=0),0,IF(OR(Q164=0,AP164=0),N.A.,IF(AP164&lt;Q164,(Q164-AP164)/AP164,(AP164-Q164)/Q164))))</f>
        <v>N.D.</v>
      </c>
      <c r="AQ166" s="764"/>
      <c r="AR166" s="764"/>
      <c r="AS166" s="764"/>
      <c r="AT166" s="97"/>
      <c r="AU166" s="764" t="str">
        <f>IF(OR(V164=N.D.,AU164="",AU164=N.D.),N.D.,IF(AND(V164=0,AU164=0),0,IF(OR(V164=0,AU164=0),N.A.,IF(AU164&lt;V164,(V164-AU164)/AU164,(AU164-V164)/V164))))</f>
        <v>N.D.</v>
      </c>
      <c r="AV166" s="764"/>
      <c r="AW166" s="764"/>
      <c r="AX166" s="764"/>
      <c r="AY166" s="76"/>
      <c r="AZ166" s="764" t="str">
        <f>IF(OR(AA164=N.D.,AZ164="",AZ164=N.D.),N.D.,IF(AND(AA164=0,AZ164=0),0,IF(OR(AA164=0,AZ164=0),N.A.,IF(AZ164&lt;AA164,(AA164-AZ164)/AZ164,(AZ164-AA164)/AA164))))</f>
        <v>N.D.</v>
      </c>
      <c r="BA166" s="764"/>
      <c r="BB166" s="764"/>
      <c r="BC166" s="764"/>
      <c r="BF166" s="342"/>
    </row>
    <row r="167" spans="1:312" ht="15" customHeight="1" thickBot="1" x14ac:dyDescent="0.3">
      <c r="F167" s="342"/>
      <c r="AH167" s="115" t="str">
        <f>IF(res_utiliser_VHU&lt;&gt;menu_outil,IF((COUNTIF(AP166,N.D.)+(COUNTIF(AU166,N.D.)))=0,"",N.D.),"")</f>
        <v>N.D.</v>
      </c>
      <c r="AI167" s="16" t="str">
        <f>puce1</f>
        <v>Ä</v>
      </c>
      <c r="AJ167" s="735" t="str">
        <f>IF(res_utiliser_VHU=menu_outil,txt_validation,IF(I165=N.D.,IF(AZ166=N.D.,K165,""),IF(AH167=N.D.,txt_N.D.&amp;AI161,"")))</f>
        <v>Non disponible : vérifiez les données à la question 1.5</v>
      </c>
      <c r="AK167" s="735"/>
      <c r="AL167" s="735"/>
      <c r="AM167" s="735"/>
      <c r="AN167" s="735"/>
      <c r="AO167" s="735"/>
      <c r="AP167" s="735"/>
      <c r="AQ167" s="735"/>
      <c r="AR167" s="735"/>
      <c r="AS167" s="735"/>
      <c r="AT167" s="735"/>
      <c r="AU167" s="735"/>
      <c r="AV167" s="735"/>
      <c r="AW167" s="735"/>
      <c r="AX167" s="735"/>
      <c r="AY167" s="735"/>
      <c r="AZ167" s="735"/>
      <c r="BA167" s="735"/>
      <c r="BB167" s="735"/>
      <c r="BC167" s="735"/>
      <c r="BF167" s="342"/>
    </row>
    <row r="168" spans="1:312" ht="15" customHeight="1" x14ac:dyDescent="0.25">
      <c r="F168" s="342"/>
      <c r="I168" s="799" t="s">
        <v>774</v>
      </c>
      <c r="J168" s="800"/>
      <c r="K168" s="800"/>
      <c r="L168" s="800"/>
      <c r="M168" s="800"/>
      <c r="N168" s="800"/>
      <c r="O168" s="800"/>
      <c r="P168" s="800"/>
      <c r="Q168" s="800"/>
      <c r="R168" s="800"/>
      <c r="S168" s="800"/>
      <c r="T168" s="800"/>
      <c r="U168" s="800"/>
      <c r="V168" s="800"/>
      <c r="W168" s="800"/>
      <c r="X168" s="800"/>
      <c r="Y168" s="800"/>
      <c r="Z168" s="800"/>
      <c r="AA168" s="801"/>
      <c r="AB168" s="793"/>
      <c r="AC168" s="794"/>
      <c r="AD168" s="794"/>
      <c r="AH168" s="117" t="str">
        <f>IF(res_utiliser_VHU&lt;&gt;menu_outil,IF((COUNTIF(AP166,N.A.)+(COUNTIF(AU166,N.A.)))=0,"",N.A.),"")</f>
        <v/>
      </c>
      <c r="AI168" s="87"/>
      <c r="AJ168" s="766" t="str">
        <f>IF(AH168=N.A.,txt_N.A.,"")</f>
        <v/>
      </c>
      <c r="AK168" s="766"/>
      <c r="AL168" s="766"/>
      <c r="AM168" s="766"/>
      <c r="AN168" s="766"/>
      <c r="AO168" s="766"/>
      <c r="AP168" s="766"/>
      <c r="AQ168" s="766"/>
      <c r="AR168" s="766"/>
      <c r="AS168" s="766"/>
      <c r="AT168" s="766"/>
      <c r="AU168" s="766"/>
      <c r="AV168" s="766"/>
      <c r="AW168" s="766"/>
      <c r="AX168" s="766"/>
      <c r="AY168" s="766"/>
      <c r="AZ168" s="766"/>
      <c r="BA168" s="766"/>
      <c r="BB168" s="766"/>
      <c r="BC168" s="766"/>
      <c r="BF168" s="342"/>
    </row>
    <row r="169" spans="1:312" ht="15" customHeight="1" thickBot="1" x14ac:dyDescent="0.3">
      <c r="F169" s="342"/>
      <c r="I169" s="802"/>
      <c r="J169" s="803"/>
      <c r="K169" s="803"/>
      <c r="L169" s="803"/>
      <c r="M169" s="803"/>
      <c r="N169" s="803"/>
      <c r="O169" s="803"/>
      <c r="P169" s="803"/>
      <c r="Q169" s="803"/>
      <c r="R169" s="803"/>
      <c r="S169" s="803"/>
      <c r="T169" s="803"/>
      <c r="U169" s="803"/>
      <c r="V169" s="803"/>
      <c r="W169" s="803"/>
      <c r="X169" s="803"/>
      <c r="Y169" s="803"/>
      <c r="Z169" s="803"/>
      <c r="AA169" s="804"/>
      <c r="AB169" s="793"/>
      <c r="AC169" s="794"/>
      <c r="AD169" s="794"/>
      <c r="AJ169" s="766"/>
      <c r="AK169" s="766"/>
      <c r="AL169" s="766"/>
      <c r="AM169" s="766"/>
      <c r="AN169" s="766"/>
      <c r="AO169" s="766"/>
      <c r="AP169" s="766"/>
      <c r="AQ169" s="766"/>
      <c r="AR169" s="766"/>
      <c r="AS169" s="766"/>
      <c r="AT169" s="766"/>
      <c r="AU169" s="766"/>
      <c r="AV169" s="766"/>
      <c r="AW169" s="766"/>
      <c r="AX169" s="766"/>
      <c r="AY169" s="766"/>
      <c r="AZ169" s="766"/>
      <c r="BA169" s="766"/>
      <c r="BB169" s="766"/>
      <c r="BC169" s="766"/>
      <c r="BF169" s="342"/>
    </row>
    <row r="170" spans="1:312" ht="15" customHeight="1" x14ac:dyDescent="0.25">
      <c r="F170" s="342"/>
      <c r="BF170" s="342"/>
    </row>
    <row r="171" spans="1:312" ht="5.25" customHeight="1" thickBot="1" x14ac:dyDescent="0.3">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B171" s="342"/>
      <c r="BC171" s="342"/>
      <c r="BD171" s="342"/>
      <c r="BE171" s="342"/>
      <c r="BF171" s="342"/>
    </row>
    <row r="172" spans="1:312" ht="15" customHeight="1" thickBot="1" x14ac:dyDescent="0.3">
      <c r="F172" s="342"/>
      <c r="AM172" s="779" t="s">
        <v>771</v>
      </c>
      <c r="AN172" s="780"/>
      <c r="AO172" s="780"/>
      <c r="AP172" s="780"/>
      <c r="AQ172" s="780"/>
      <c r="AR172" s="780"/>
      <c r="AS172" s="780"/>
      <c r="AT172" s="780"/>
      <c r="AU172" s="780"/>
      <c r="AV172" s="780"/>
      <c r="AW172" s="780"/>
      <c r="AX172" s="780"/>
      <c r="AY172" s="780"/>
      <c r="AZ172" s="780"/>
      <c r="BA172" s="780"/>
      <c r="BB172" s="780"/>
      <c r="BC172" s="780"/>
      <c r="BD172" s="780"/>
      <c r="BE172" s="781"/>
      <c r="BF172" s="342"/>
    </row>
    <row r="173" spans="1:312" ht="15" customHeight="1" x14ac:dyDescent="0.25">
      <c r="C173" s="73">
        <f>C157+1</f>
        <v>6</v>
      </c>
      <c r="F173" s="342"/>
      <c r="I173" s="346" t="str">
        <f>CONCATENATE($B$2,".",$C173,".")</f>
        <v>2.6.</v>
      </c>
      <c r="J173" s="347" t="s">
        <v>391</v>
      </c>
      <c r="AL173" s="581"/>
      <c r="AM173" s="782"/>
      <c r="AN173" s="783"/>
      <c r="AO173" s="783"/>
      <c r="AP173" s="783"/>
      <c r="AQ173" s="783"/>
      <c r="AR173" s="783"/>
      <c r="AS173" s="783"/>
      <c r="AT173" s="783"/>
      <c r="AU173" s="783"/>
      <c r="AV173" s="783"/>
      <c r="AW173" s="783"/>
      <c r="AX173" s="783"/>
      <c r="AY173" s="783"/>
      <c r="AZ173" s="783"/>
      <c r="BA173" s="783"/>
      <c r="BB173" s="783"/>
      <c r="BC173" s="783"/>
      <c r="BD173" s="783"/>
      <c r="BE173" s="784"/>
      <c r="BF173" s="342"/>
      <c r="KB173" s="497"/>
      <c r="KC173" s="498"/>
      <c r="KD173" s="498"/>
      <c r="KE173" s="498"/>
      <c r="KF173" s="498"/>
      <c r="KG173" s="498"/>
      <c r="KH173" s="498"/>
      <c r="KI173" s="498"/>
      <c r="KJ173" s="498"/>
      <c r="KK173" s="498"/>
      <c r="KL173" s="498"/>
      <c r="KM173" s="498"/>
      <c r="KN173" s="499"/>
      <c r="KO173" s="497"/>
      <c r="KP173" s="498"/>
      <c r="KQ173" s="498"/>
      <c r="KR173" s="498"/>
      <c r="KS173" s="498"/>
      <c r="KT173" s="498"/>
      <c r="KU173" s="498"/>
      <c r="KV173" s="498"/>
      <c r="KW173" s="498"/>
      <c r="KX173" s="498"/>
      <c r="KY173" s="498"/>
      <c r="KZ173" s="499"/>
    </row>
    <row r="174" spans="1:312" ht="15" customHeight="1" x14ac:dyDescent="0.25">
      <c r="F174" s="342"/>
      <c r="AL174" s="581"/>
      <c r="AM174" s="782"/>
      <c r="AN174" s="783"/>
      <c r="AO174" s="783"/>
      <c r="AP174" s="783"/>
      <c r="AQ174" s="783"/>
      <c r="AR174" s="783"/>
      <c r="AS174" s="783"/>
      <c r="AT174" s="783"/>
      <c r="AU174" s="783"/>
      <c r="AV174" s="783"/>
      <c r="AW174" s="783"/>
      <c r="AX174" s="783"/>
      <c r="AY174" s="783"/>
      <c r="AZ174" s="783"/>
      <c r="BA174" s="783"/>
      <c r="BB174" s="783"/>
      <c r="BC174" s="783"/>
      <c r="BD174" s="783"/>
      <c r="BE174" s="784"/>
      <c r="BF174" s="342"/>
      <c r="KB174" s="500" t="s">
        <v>712</v>
      </c>
      <c r="KC174" s="508" t="s">
        <v>706</v>
      </c>
      <c r="KN174" s="501"/>
      <c r="KO174" s="500"/>
      <c r="KZ174" s="501"/>
    </row>
    <row r="175" spans="1:312" ht="25.5" customHeight="1" thickBot="1" x14ac:dyDescent="0.3">
      <c r="A175" s="5" t="s">
        <v>572</v>
      </c>
      <c r="C175" s="73" t="str">
        <f>C173&amp;".1"</f>
        <v>6.1</v>
      </c>
      <c r="D175" s="73"/>
      <c r="E175" s="21"/>
      <c r="F175" s="342"/>
      <c r="G175" s="19"/>
      <c r="H175" s="19"/>
      <c r="I175" s="19"/>
      <c r="J175" s="77" t="str">
        <f>CONCATENATE($B$2,".",$C175,".")</f>
        <v>2.6.1.</v>
      </c>
      <c r="K175" s="757" t="str">
        <f>question_outil_utilisateur</f>
        <v>Quelles données souhaitez-vous utiliser dans les résultats ?</v>
      </c>
      <c r="L175" s="757"/>
      <c r="M175" s="757"/>
      <c r="N175" s="757"/>
      <c r="O175" s="757"/>
      <c r="P175" s="757"/>
      <c r="Q175" s="757"/>
      <c r="R175" s="757"/>
      <c r="S175" s="757"/>
      <c r="T175" s="757"/>
      <c r="U175" s="757"/>
      <c r="V175" s="757"/>
      <c r="W175" s="757"/>
      <c r="X175" s="757"/>
      <c r="Y175" s="757"/>
      <c r="Z175" s="757"/>
      <c r="AA175" s="757"/>
      <c r="AB175" s="759"/>
      <c r="AC175" s="759"/>
      <c r="AD175" s="759"/>
      <c r="AE175" s="759"/>
      <c r="AF175" s="759"/>
      <c r="AG175" s="759"/>
      <c r="AH175" s="759"/>
      <c r="AI175" s="759"/>
      <c r="AJ175" s="759"/>
      <c r="AK175" s="19"/>
      <c r="AL175" s="581"/>
      <c r="AM175" s="785"/>
      <c r="AN175" s="786"/>
      <c r="AO175" s="786"/>
      <c r="AP175" s="786"/>
      <c r="AQ175" s="786"/>
      <c r="AR175" s="786"/>
      <c r="AS175" s="786"/>
      <c r="AT175" s="786"/>
      <c r="AU175" s="786"/>
      <c r="AV175" s="786"/>
      <c r="AW175" s="786"/>
      <c r="AX175" s="786"/>
      <c r="AY175" s="786"/>
      <c r="AZ175" s="786"/>
      <c r="BA175" s="786"/>
      <c r="BB175" s="786"/>
      <c r="BC175" s="786"/>
      <c r="BD175" s="786"/>
      <c r="BE175" s="787"/>
      <c r="BF175" s="342"/>
      <c r="KB175" s="500"/>
      <c r="KE175" s="280"/>
      <c r="KF175" s="280"/>
      <c r="KG175" s="280"/>
      <c r="KH175" s="721" t="s">
        <v>286</v>
      </c>
      <c r="KI175" s="721"/>
      <c r="KJ175" s="721"/>
      <c r="KK175" s="721"/>
      <c r="KN175" s="501"/>
      <c r="KO175" s="500"/>
      <c r="KZ175" s="501"/>
    </row>
    <row r="176" spans="1:312" ht="16.5" customHeight="1" thickBot="1" x14ac:dyDescent="0.3">
      <c r="C176" s="73"/>
      <c r="D176" s="73"/>
      <c r="E176" s="21"/>
      <c r="F176" s="342"/>
      <c r="G176" s="19"/>
      <c r="H176" s="19"/>
      <c r="I176" s="19"/>
      <c r="J176" s="19"/>
      <c r="K176" s="19"/>
      <c r="L176" s="19"/>
      <c r="M176" s="19"/>
      <c r="N176" s="19"/>
      <c r="O176" s="19"/>
      <c r="P176" s="19"/>
      <c r="Q176" s="19"/>
      <c r="R176" s="19"/>
      <c r="S176" s="19"/>
      <c r="T176" s="19"/>
      <c r="U176" s="19"/>
      <c r="V176" s="19"/>
      <c r="W176" s="19"/>
      <c r="X176" s="19"/>
      <c r="Y176" s="21"/>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F176" s="342"/>
      <c r="KB176" s="500"/>
      <c r="KC176" s="507" t="s">
        <v>702</v>
      </c>
      <c r="KD176" s="507"/>
      <c r="KH176" s="722"/>
      <c r="KI176" s="722"/>
      <c r="KJ176" s="722"/>
      <c r="KK176" s="722"/>
      <c r="KN176" s="501"/>
      <c r="KO176" s="500"/>
      <c r="KZ176" s="501"/>
    </row>
    <row r="177" spans="3:312" ht="15" customHeight="1" x14ac:dyDescent="0.25">
      <c r="C177" s="73" t="str">
        <f>C173&amp;".2"</f>
        <v>6.2</v>
      </c>
      <c r="D177" s="73" t="str">
        <f>C173&amp;".3"</f>
        <v>6.3</v>
      </c>
      <c r="E177" s="21"/>
      <c r="F177" s="342"/>
      <c r="G177" s="19"/>
      <c r="H177" s="19"/>
      <c r="I177" s="19"/>
      <c r="J177" s="77" t="str">
        <f>CONCATENATE($B$2,".",$C177,".")</f>
        <v>2.6.2.</v>
      </c>
      <c r="K177" s="733" t="str">
        <f>txt_outil&amp;IF(res_utiliser_textile=menu_utilisateur,donnees_infos,donnees_calculs)</f>
        <v>Données suggérées par l'outil - UTILISÉES DANS LES RÉSULTATS</v>
      </c>
      <c r="L177" s="733"/>
      <c r="M177" s="733"/>
      <c r="N177" s="733"/>
      <c r="O177" s="733"/>
      <c r="P177" s="733"/>
      <c r="Q177" s="733"/>
      <c r="R177" s="733"/>
      <c r="S177" s="733"/>
      <c r="T177" s="733"/>
      <c r="U177" s="733"/>
      <c r="V177" s="733"/>
      <c r="W177" s="733"/>
      <c r="X177" s="733"/>
      <c r="Y177" s="733"/>
      <c r="Z177" s="733"/>
      <c r="AA177" s="733"/>
      <c r="AB177" s="733"/>
      <c r="AC177" s="733"/>
      <c r="AD177" s="733"/>
      <c r="AE177" s="19"/>
      <c r="AF177" s="19"/>
      <c r="AG177" s="19"/>
      <c r="AH177" s="19"/>
      <c r="AI177" s="77" t="str">
        <f>CONCATENATE($B$2,".",$D177,".")</f>
        <v>2.6.3.</v>
      </c>
      <c r="AJ177" s="733" t="str">
        <f>txt_utilisateur&amp;IF(res_utiliser_textile=menu_utilisateur,donnees_calculs,donnees_infos)</f>
        <v xml:space="preserve">Données saisies par l'utilisateur (fournies à titre indicatif seulement) </v>
      </c>
      <c r="AK177" s="733"/>
      <c r="AL177" s="733"/>
      <c r="AM177" s="733"/>
      <c r="AN177" s="733"/>
      <c r="AO177" s="733"/>
      <c r="AP177" s="733"/>
      <c r="AQ177" s="733"/>
      <c r="AR177" s="733"/>
      <c r="AS177" s="733"/>
      <c r="AT177" s="733"/>
      <c r="AU177" s="733"/>
      <c r="AV177" s="733"/>
      <c r="AW177" s="733"/>
      <c r="AX177" s="733"/>
      <c r="AY177" s="733"/>
      <c r="AZ177" s="733"/>
      <c r="BA177" s="733"/>
      <c r="BB177" s="733"/>
      <c r="BC177" s="733"/>
      <c r="BF177" s="342"/>
      <c r="BH177" s="106"/>
      <c r="BI177" s="737"/>
      <c r="BJ177" s="737"/>
      <c r="BK177" s="737"/>
      <c r="BL177" s="737"/>
      <c r="BM177" s="737"/>
      <c r="BN177" s="737"/>
      <c r="BO177" s="737"/>
      <c r="BP177" s="737"/>
      <c r="BQ177" s="737"/>
      <c r="BR177" s="737"/>
      <c r="BS177" s="737"/>
      <c r="BT177" s="737"/>
      <c r="BU177" s="737"/>
      <c r="BV177" s="737"/>
      <c r="BW177" s="737"/>
      <c r="BX177" s="737"/>
      <c r="BY177" s="737"/>
      <c r="BZ177" s="737"/>
      <c r="CA177" s="737"/>
      <c r="CB177" s="737"/>
      <c r="CC177" s="737"/>
      <c r="CD177" s="737"/>
      <c r="CE177" s="108"/>
      <c r="KB177" s="500"/>
      <c r="KN177" s="501"/>
      <c r="KO177" s="500"/>
      <c r="KZ177" s="501"/>
    </row>
    <row r="178" spans="3:312" ht="15" customHeight="1" x14ac:dyDescent="0.75">
      <c r="C178" s="73"/>
      <c r="D178" s="73"/>
      <c r="E178" s="21"/>
      <c r="F178" s="342"/>
      <c r="G178" s="19"/>
      <c r="H178" s="19"/>
      <c r="I178" s="19"/>
      <c r="J178" s="77"/>
      <c r="K178" s="22"/>
      <c r="L178" s="19"/>
      <c r="M178" s="19"/>
      <c r="N178" s="19"/>
      <c r="O178" s="19"/>
      <c r="P178" s="19"/>
      <c r="Q178" s="19"/>
      <c r="R178" s="19"/>
      <c r="S178" s="19"/>
      <c r="T178" s="19"/>
      <c r="U178" s="19"/>
      <c r="V178" s="19"/>
      <c r="W178" s="19"/>
      <c r="X178" s="55"/>
      <c r="Y178" s="55"/>
      <c r="Z178" s="55"/>
      <c r="AA178" s="19"/>
      <c r="AB178" s="19"/>
      <c r="AC178" s="19"/>
      <c r="AD178" s="19"/>
      <c r="AE178" s="19"/>
      <c r="AF178" s="19"/>
      <c r="AG178" s="19"/>
      <c r="AH178" s="19"/>
      <c r="AI178" s="77"/>
      <c r="AJ178" s="22"/>
      <c r="AK178" s="19"/>
      <c r="AL178" s="19"/>
      <c r="AM178" s="19"/>
      <c r="AN178" s="61"/>
      <c r="AO178" s="19"/>
      <c r="AP178" s="61"/>
      <c r="AQ178" s="19"/>
      <c r="AR178" s="19"/>
      <c r="AS178" s="19"/>
      <c r="AT178" s="19"/>
      <c r="AU178" s="19"/>
      <c r="AV178" s="19"/>
      <c r="AW178" s="19"/>
      <c r="AX178" s="19"/>
      <c r="AY178" s="61"/>
      <c r="AZ178" s="19"/>
      <c r="BA178" s="19"/>
      <c r="BB178" s="19"/>
      <c r="BC178" s="19"/>
      <c r="BF178" s="342"/>
      <c r="BH178" s="353"/>
      <c r="BI178" s="710" t="s">
        <v>488</v>
      </c>
      <c r="BJ178" s="710"/>
      <c r="BK178" s="710"/>
      <c r="BL178" s="710"/>
      <c r="BM178" s="710"/>
      <c r="BN178" s="710"/>
      <c r="BO178" s="710"/>
      <c r="BP178" s="710"/>
      <c r="BQ178" s="710"/>
      <c r="BR178" s="710"/>
      <c r="BS178" s="710"/>
      <c r="BT178" s="710"/>
      <c r="BU178" s="710"/>
      <c r="BV178" s="710"/>
      <c r="BW178" s="710"/>
      <c r="BX178" s="710"/>
      <c r="BY178" s="710"/>
      <c r="BZ178" s="710"/>
      <c r="CA178" s="710"/>
      <c r="CB178" s="710"/>
      <c r="CC178" s="710"/>
      <c r="CD178" s="710"/>
      <c r="CE178" s="354"/>
      <c r="KB178" s="502" t="s">
        <v>713</v>
      </c>
      <c r="KC178" s="510" t="s">
        <v>695</v>
      </c>
      <c r="KD178" s="19"/>
      <c r="KE178" s="19"/>
      <c r="KF178" s="19"/>
      <c r="KG178" s="19"/>
      <c r="KH178" s="19"/>
      <c r="KI178" s="19"/>
      <c r="KJ178" s="19"/>
      <c r="KK178" s="19"/>
      <c r="KL178" s="19"/>
      <c r="KM178" s="19"/>
      <c r="KN178" s="503"/>
      <c r="KO178" s="502"/>
      <c r="KP178" s="19"/>
      <c r="KQ178" s="718" t="s">
        <v>701</v>
      </c>
      <c r="KR178" s="718"/>
      <c r="KS178" s="718"/>
      <c r="KT178" s="718"/>
      <c r="KU178" s="718"/>
      <c r="KV178" s="718"/>
      <c r="KW178" s="718"/>
      <c r="KX178" s="718"/>
      <c r="KY178" s="718"/>
      <c r="KZ178" s="501"/>
    </row>
    <row r="179" spans="3:312" ht="15" customHeight="1" x14ac:dyDescent="0.25">
      <c r="C179" s="72"/>
      <c r="D179" s="72"/>
      <c r="E179" s="36"/>
      <c r="F179" s="342"/>
      <c r="I179" s="26"/>
      <c r="Q179" s="710" t="s">
        <v>610</v>
      </c>
      <c r="R179" s="715"/>
      <c r="S179" s="715"/>
      <c r="T179" s="715"/>
      <c r="V179" s="710" t="s">
        <v>611</v>
      </c>
      <c r="W179" s="715"/>
      <c r="X179" s="715"/>
      <c r="Y179" s="715"/>
      <c r="AA179" s="710" t="s">
        <v>612</v>
      </c>
      <c r="AB179" s="715"/>
      <c r="AC179" s="715"/>
      <c r="AD179" s="715"/>
      <c r="AH179" s="26"/>
      <c r="AP179" s="715" t="str">
        <f>Q179</f>
        <v>Récupéré (t)</v>
      </c>
      <c r="AQ179" s="715"/>
      <c r="AR179" s="715"/>
      <c r="AS179" s="715"/>
      <c r="AT179" s="4"/>
      <c r="AU179" s="715" t="str">
        <f>V179</f>
        <v>Éliminé (t)</v>
      </c>
      <c r="AV179" s="715"/>
      <c r="AW179" s="715"/>
      <c r="AX179" s="715"/>
      <c r="AY179" s="19"/>
      <c r="AZ179" s="715" t="str">
        <f>AA179</f>
        <v>Généré (t)</v>
      </c>
      <c r="BA179" s="715"/>
      <c r="BB179" s="715"/>
      <c r="BC179" s="715"/>
      <c r="BF179" s="342"/>
      <c r="BH179" s="353"/>
      <c r="BI179" s="348"/>
      <c r="BJ179" s="348"/>
      <c r="BK179" s="348"/>
      <c r="BL179" s="348"/>
      <c r="BM179" s="348"/>
      <c r="BN179" s="348"/>
      <c r="BO179" s="348"/>
      <c r="BP179" s="348"/>
      <c r="BQ179" s="715" t="str">
        <f>Q179</f>
        <v>Récupéré (t)</v>
      </c>
      <c r="BR179" s="715"/>
      <c r="BS179" s="715"/>
      <c r="BT179" s="715"/>
      <c r="BU179" s="4"/>
      <c r="BV179" s="715" t="str">
        <f>V179</f>
        <v>Éliminé (t)</v>
      </c>
      <c r="BW179" s="715"/>
      <c r="BX179" s="715"/>
      <c r="BY179" s="715"/>
      <c r="BZ179" s="19"/>
      <c r="CA179" s="715" t="str">
        <f>AA179</f>
        <v>Généré (t)</v>
      </c>
      <c r="CB179" s="715"/>
      <c r="CC179" s="715"/>
      <c r="CD179" s="715"/>
      <c r="CE179" s="354"/>
      <c r="KB179" s="500"/>
      <c r="KC179" s="19"/>
      <c r="KD179" s="19"/>
      <c r="KE179" s="19"/>
      <c r="KF179" s="19"/>
      <c r="KG179" s="19"/>
      <c r="KH179" s="718" t="s">
        <v>286</v>
      </c>
      <c r="KI179" s="718"/>
      <c r="KJ179" s="718"/>
      <c r="KK179" s="718"/>
      <c r="KL179" s="19"/>
      <c r="KM179" s="19"/>
      <c r="KN179" s="503"/>
      <c r="KO179" s="502"/>
      <c r="KP179" s="19"/>
      <c r="KQ179" s="19"/>
      <c r="KR179" s="19"/>
      <c r="KS179" s="718" t="s">
        <v>286</v>
      </c>
      <c r="KT179" s="718"/>
      <c r="KU179" s="718"/>
      <c r="KV179" s="718"/>
      <c r="KW179" s="19"/>
      <c r="KX179" s="19"/>
      <c r="KY179" s="19"/>
      <c r="KZ179" s="501"/>
    </row>
    <row r="180" spans="3:312" ht="15" customHeight="1" x14ac:dyDescent="0.25">
      <c r="C180" s="72"/>
      <c r="D180" s="72"/>
      <c r="E180" s="36"/>
      <c r="F180" s="342"/>
      <c r="I180" s="693" t="s">
        <v>391</v>
      </c>
      <c r="J180" s="693"/>
      <c r="K180" s="693"/>
      <c r="L180" s="693"/>
      <c r="M180" s="693"/>
      <c r="N180" s="693"/>
      <c r="O180" s="693"/>
      <c r="P180" s="693"/>
      <c r="Q180" s="711" t="str">
        <f>IF(gen_pop_MRC="",N.D.,gen_pop_MRC*Paramètres!E42/1000)</f>
        <v>N.D.</v>
      </c>
      <c r="R180" s="711"/>
      <c r="S180" s="711"/>
      <c r="T180" s="711"/>
      <c r="U180" s="63"/>
      <c r="V180" s="711" t="str">
        <f>IF(gen_pop_MRC="",N.D.,gen_pop_MRC*Paramètres!E69/1000)</f>
        <v>N.D.</v>
      </c>
      <c r="W180" s="711"/>
      <c r="X180" s="711"/>
      <c r="Y180" s="711"/>
      <c r="Z180" s="63"/>
      <c r="AA180" s="711" t="str">
        <f>IF(OR(Q180=N.D.,V180=N.D.),N.D.,SUM(Q180,V180))</f>
        <v>N.D.</v>
      </c>
      <c r="AB180" s="711"/>
      <c r="AC180" s="711"/>
      <c r="AD180" s="711"/>
      <c r="AH180" s="731" t="str">
        <f>I180</f>
        <v>Textiles</v>
      </c>
      <c r="AI180" s="731"/>
      <c r="AJ180" s="731"/>
      <c r="AK180" s="731"/>
      <c r="AL180" s="731"/>
      <c r="AM180" s="731"/>
      <c r="AN180" s="731"/>
      <c r="AO180" s="731"/>
      <c r="AP180" s="734"/>
      <c r="AQ180" s="734"/>
      <c r="AR180" s="734"/>
      <c r="AS180" s="734"/>
      <c r="AT180" s="74"/>
      <c r="AU180" s="734"/>
      <c r="AV180" s="734"/>
      <c r="AW180" s="734"/>
      <c r="AX180" s="734"/>
      <c r="AY180" s="65"/>
      <c r="AZ180" s="736" t="str">
        <f>IF(AND(AP180="",AU180=""),"",IF(OR(AP180="",AU180=""),N.D.,SUM(AP180,AU180)))</f>
        <v/>
      </c>
      <c r="BA180" s="736"/>
      <c r="BB180" s="736"/>
      <c r="BC180" s="736"/>
      <c r="BF180" s="342"/>
      <c r="BH180" s="353"/>
      <c r="BI180" s="693" t="str">
        <f>I180</f>
        <v>Textiles</v>
      </c>
      <c r="BJ180" s="693"/>
      <c r="BK180" s="693"/>
      <c r="BL180" s="693"/>
      <c r="BM180" s="693"/>
      <c r="BN180" s="693"/>
      <c r="BO180" s="693"/>
      <c r="BP180" s="693"/>
      <c r="BQ180" s="711" t="str">
        <f>IF(res_utiliser_textile=menu_utilisateur,IF(OR(AP180="",AP180=N.D.),N.D.,AP180),IF(OR(res_utiliser_textile="",Q180="",Q180=N.D.),N.D.,Q180))</f>
        <v>N.D.</v>
      </c>
      <c r="BR180" s="711"/>
      <c r="BS180" s="711"/>
      <c r="BT180" s="711"/>
      <c r="BU180" s="348"/>
      <c r="BV180" s="711" t="str">
        <f>IF(res_utiliser_textile=menu_utilisateur,IF(OR(AU180="",AU180=N.D.),N.D.,AU180),IF(OR(res_utiliser_textile="",V180="",V180=N.D.),N.D.,V180))</f>
        <v>N.D.</v>
      </c>
      <c r="BW180" s="711"/>
      <c r="BX180" s="711"/>
      <c r="BY180" s="711"/>
      <c r="BZ180" s="348"/>
      <c r="CA180" s="711" t="str">
        <f>IF(OR(BQ180=N.D.,BV180=N.D.),N.D.,SUM(BQ180,BV180))</f>
        <v>N.D.</v>
      </c>
      <c r="CB180" s="711"/>
      <c r="CC180" s="711"/>
      <c r="CD180" s="711"/>
      <c r="CE180" s="354"/>
      <c r="KB180" s="500"/>
      <c r="KC180" s="507" t="s">
        <v>391</v>
      </c>
      <c r="KD180" s="507"/>
      <c r="KH180" s="719">
        <f>IF($KS$180="",$KH$176*3.1%,$KH$176*$KS$180)</f>
        <v>0</v>
      </c>
      <c r="KI180" s="719"/>
      <c r="KJ180" s="719"/>
      <c r="KK180" s="719"/>
      <c r="KN180" s="501"/>
      <c r="KO180" s="500"/>
      <c r="KS180" s="720">
        <v>3.7999999999999999E-2</v>
      </c>
      <c r="KT180" s="720"/>
      <c r="KU180" s="720"/>
      <c r="KV180" s="720"/>
      <c r="KZ180" s="501"/>
    </row>
    <row r="181" spans="3:312" ht="15" customHeight="1" thickBot="1" x14ac:dyDescent="0.3">
      <c r="F181" s="342"/>
      <c r="I181" s="770" t="str">
        <f>IF(OR(Q180=N.D.,V180=N.D.),N.D.,"")</f>
        <v>N.D.</v>
      </c>
      <c r="J181" s="770"/>
      <c r="K181" s="735" t="str">
        <f>IF(I181=N.D.,txt_N.D.&amp;'Données générales'!AH8,"")</f>
        <v>Non disponible : vérifiez les données à la question 1.5</v>
      </c>
      <c r="L181" s="735"/>
      <c r="M181" s="735"/>
      <c r="N181" s="735"/>
      <c r="O181" s="735"/>
      <c r="P181" s="735"/>
      <c r="Q181" s="735"/>
      <c r="R181" s="735"/>
      <c r="S181" s="735"/>
      <c r="T181" s="735"/>
      <c r="U181" s="735"/>
      <c r="V181" s="735"/>
      <c r="W181" s="735"/>
      <c r="X181" s="735"/>
      <c r="Y181" s="735"/>
      <c r="Z181" s="735"/>
      <c r="AA181" s="735"/>
      <c r="AB181" s="735"/>
      <c r="AC181" s="735"/>
      <c r="AD181" s="735"/>
      <c r="AH181" s="94" t="str">
        <f>IF((COUNTIF(AP175:AP178,"")+(COUNTIF(AU175:AU178,"")))=0,"plein","vide")</f>
        <v>vide</v>
      </c>
      <c r="BF181" s="342"/>
      <c r="BH181" s="58"/>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5"/>
      <c r="KB181" s="504"/>
      <c r="KC181" s="505"/>
      <c r="KD181" s="505"/>
      <c r="KE181" s="505"/>
      <c r="KF181" s="505"/>
      <c r="KG181" s="505"/>
      <c r="KH181" s="505"/>
      <c r="KI181" s="505"/>
      <c r="KJ181" s="505"/>
      <c r="KK181" s="505"/>
      <c r="KL181" s="505"/>
      <c r="KM181" s="505"/>
      <c r="KN181" s="506"/>
      <c r="KO181" s="504"/>
      <c r="KP181" s="505"/>
      <c r="KQ181" s="505"/>
      <c r="KR181" s="505"/>
      <c r="KS181" s="505"/>
      <c r="KT181" s="505"/>
      <c r="KU181" s="505"/>
      <c r="KV181" s="505"/>
      <c r="KW181" s="505"/>
      <c r="KX181" s="505"/>
      <c r="KY181" s="505"/>
      <c r="KZ181" s="506"/>
    </row>
    <row r="182" spans="3:312" ht="15" customHeight="1" x14ac:dyDescent="0.25">
      <c r="F182" s="342"/>
      <c r="AE182" s="767" t="str">
        <f>txt_aide</f>
        <v>Aide à la validation des données :</v>
      </c>
      <c r="AF182" s="767"/>
      <c r="AG182" s="767"/>
      <c r="AH182" s="767"/>
      <c r="AI182" s="767"/>
      <c r="AJ182" s="767"/>
      <c r="AK182" s="767"/>
      <c r="AL182" s="767"/>
      <c r="AM182" s="767"/>
      <c r="AN182" s="767"/>
      <c r="AO182" s="767"/>
      <c r="AP182" s="764" t="str">
        <f>IF(OR(Q180=N.D.,AP180="",AP180=N.D.),N.D.,IF(AND(Q180=0,AP180=0),0,IF(OR(Q180=0,AP180=0),N.A.,IF(AP180&lt;Q180,(Q180-AP180)/AP180,(AP180-Q180)/Q180))))</f>
        <v>N.D.</v>
      </c>
      <c r="AQ182" s="764"/>
      <c r="AR182" s="764"/>
      <c r="AS182" s="764"/>
      <c r="AT182" s="97"/>
      <c r="AU182" s="764" t="str">
        <f>IF(OR(V180=N.D.,AU180="",AU180=N.D.),N.D.,IF(AND(V180=0,AU180=0),0,IF(OR(V180=0,AU180=0),N.A.,IF(AU180&lt;V180,(V180-AU180)/AU180,(AU180-V180)/V180))))</f>
        <v>N.D.</v>
      </c>
      <c r="AV182" s="764"/>
      <c r="AW182" s="764"/>
      <c r="AX182" s="764"/>
      <c r="AY182" s="76"/>
      <c r="AZ182" s="764" t="str">
        <f>IF(OR(AA180=N.D.,AZ180="",AZ180=N.D.),N.D.,IF(AND(AA180=0,AZ180=0),0,IF(OR(AA180=0,AZ180=0),N.A.,IF(AZ180&lt;AA180,(AA180-AZ180)/AZ180,(AZ180-AA180)/AA180))))</f>
        <v>N.D.</v>
      </c>
      <c r="BA182" s="764"/>
      <c r="BB182" s="764"/>
      <c r="BC182" s="764"/>
      <c r="BF182" s="342"/>
    </row>
    <row r="183" spans="3:312" ht="15" customHeight="1" thickBot="1" x14ac:dyDescent="0.3">
      <c r="F183" s="342"/>
      <c r="AH183" s="115" t="str">
        <f>IF(res_utiliser_textile&lt;&gt;menu_outil,IF((COUNTIF(AP182,N.D.)+(COUNTIF(AU182,N.D.)))=0,"",N.D.),"")</f>
        <v>N.D.</v>
      </c>
      <c r="AI183" s="115"/>
      <c r="AJ183" s="735" t="str">
        <f>IF(res_utiliser_textile=menu_outil,txt_validation,IF(I181=N.D.,IF(AZ182=N.D.,K181,""),IF(AH183=N.D.,txt_N.D.&amp;AI177,"")))</f>
        <v>Non disponible : vérifiez les données à la question 1.5</v>
      </c>
      <c r="AK183" s="735"/>
      <c r="AL183" s="735"/>
      <c r="AM183" s="735"/>
      <c r="AN183" s="735"/>
      <c r="AO183" s="735"/>
      <c r="AP183" s="735"/>
      <c r="AQ183" s="735"/>
      <c r="AR183" s="735"/>
      <c r="AS183" s="735"/>
      <c r="AT183" s="735"/>
      <c r="AU183" s="735"/>
      <c r="AV183" s="735"/>
      <c r="AW183" s="735"/>
      <c r="AX183" s="735"/>
      <c r="AY183" s="735"/>
      <c r="AZ183" s="735"/>
      <c r="BA183" s="735"/>
      <c r="BB183" s="735"/>
      <c r="BC183" s="735"/>
      <c r="BF183" s="342"/>
    </row>
    <row r="184" spans="3:312" ht="15" customHeight="1" x14ac:dyDescent="0.25">
      <c r="F184" s="342"/>
      <c r="I184" s="799" t="s">
        <v>775</v>
      </c>
      <c r="J184" s="800"/>
      <c r="K184" s="800"/>
      <c r="L184" s="800"/>
      <c r="M184" s="800"/>
      <c r="N184" s="800"/>
      <c r="O184" s="800"/>
      <c r="P184" s="800"/>
      <c r="Q184" s="800"/>
      <c r="R184" s="800"/>
      <c r="S184" s="800"/>
      <c r="T184" s="800"/>
      <c r="U184" s="800"/>
      <c r="V184" s="800"/>
      <c r="W184" s="800"/>
      <c r="X184" s="800"/>
      <c r="Y184" s="800"/>
      <c r="Z184" s="800"/>
      <c r="AA184" s="801"/>
      <c r="AH184" s="117" t="str">
        <f>IF(res_utiliser_textile&lt;&gt;menu_outil,IF((COUNTIF(AP182,N.A.)+(COUNTIF(AU182,N.A.)))=0,"",N.A.),"")</f>
        <v/>
      </c>
      <c r="AI184" s="87"/>
      <c r="AJ184" s="766" t="str">
        <f>IF(AH184=N.A.,txt_N.A.,"")</f>
        <v/>
      </c>
      <c r="AK184" s="766"/>
      <c r="AL184" s="766"/>
      <c r="AM184" s="766"/>
      <c r="AN184" s="766"/>
      <c r="AO184" s="766"/>
      <c r="AP184" s="766"/>
      <c r="AQ184" s="766"/>
      <c r="AR184" s="766"/>
      <c r="AS184" s="766"/>
      <c r="AT184" s="766"/>
      <c r="AU184" s="766"/>
      <c r="AV184" s="766"/>
      <c r="AW184" s="766"/>
      <c r="AX184" s="766"/>
      <c r="AY184" s="766"/>
      <c r="AZ184" s="766"/>
      <c r="BA184" s="766"/>
      <c r="BB184" s="766"/>
      <c r="BC184" s="766"/>
      <c r="BF184" s="342"/>
    </row>
    <row r="185" spans="3:312" ht="15" customHeight="1" thickBot="1" x14ac:dyDescent="0.3">
      <c r="F185" s="342"/>
      <c r="I185" s="802"/>
      <c r="J185" s="803"/>
      <c r="K185" s="803"/>
      <c r="L185" s="803"/>
      <c r="M185" s="803"/>
      <c r="N185" s="803"/>
      <c r="O185" s="803"/>
      <c r="P185" s="803"/>
      <c r="Q185" s="803"/>
      <c r="R185" s="803"/>
      <c r="S185" s="803"/>
      <c r="T185" s="803"/>
      <c r="U185" s="803"/>
      <c r="V185" s="803"/>
      <c r="W185" s="803"/>
      <c r="X185" s="803"/>
      <c r="Y185" s="803"/>
      <c r="Z185" s="803"/>
      <c r="AA185" s="804"/>
      <c r="AJ185" s="766"/>
      <c r="AK185" s="766"/>
      <c r="AL185" s="766"/>
      <c r="AM185" s="766"/>
      <c r="AN185" s="766"/>
      <c r="AO185" s="766"/>
      <c r="AP185" s="766"/>
      <c r="AQ185" s="766"/>
      <c r="AR185" s="766"/>
      <c r="AS185" s="766"/>
      <c r="AT185" s="766"/>
      <c r="AU185" s="766"/>
      <c r="AV185" s="766"/>
      <c r="AW185" s="766"/>
      <c r="AX185" s="766"/>
      <c r="AY185" s="766"/>
      <c r="AZ185" s="766"/>
      <c r="BA185" s="766"/>
      <c r="BB185" s="766"/>
      <c r="BC185" s="766"/>
      <c r="BF185" s="342"/>
    </row>
    <row r="186" spans="3:312" ht="15" customHeight="1" x14ac:dyDescent="0.25">
      <c r="F186" s="342"/>
      <c r="BF186" s="342"/>
    </row>
    <row r="187" spans="3:312" ht="5.25" customHeight="1" x14ac:dyDescent="0.25">
      <c r="F187" s="342"/>
      <c r="G187" s="342"/>
      <c r="H187" s="342"/>
      <c r="I187" s="342"/>
      <c r="J187" s="342"/>
      <c r="K187" s="342"/>
      <c r="L187" s="342"/>
      <c r="M187" s="342"/>
      <c r="N187" s="342"/>
      <c r="O187" s="342"/>
      <c r="P187" s="342"/>
      <c r="Q187" s="342"/>
      <c r="R187" s="342"/>
      <c r="S187" s="342"/>
      <c r="T187" s="342"/>
      <c r="U187" s="342"/>
      <c r="V187" s="342"/>
      <c r="W187" s="342"/>
      <c r="X187" s="342"/>
      <c r="Y187" s="342"/>
      <c r="Z187" s="342"/>
      <c r="AA187" s="342"/>
      <c r="AB187" s="342"/>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c r="AY187" s="342"/>
      <c r="AZ187" s="342"/>
      <c r="BA187" s="342"/>
      <c r="BB187" s="342"/>
      <c r="BC187" s="342"/>
      <c r="BD187" s="342"/>
      <c r="BE187" s="342"/>
      <c r="BF187" s="342"/>
    </row>
    <row r="188" spans="3:312" ht="15" customHeight="1" x14ac:dyDescent="0.25">
      <c r="F188" s="342"/>
      <c r="BF188" s="342"/>
    </row>
    <row r="189" spans="3:312" ht="15" customHeight="1" x14ac:dyDescent="0.25">
      <c r="C189" s="73">
        <f>C173+1</f>
        <v>7</v>
      </c>
      <c r="F189" s="342"/>
      <c r="I189" s="346" t="str">
        <f>CONCATENATE($B$2,".",$C189,".")</f>
        <v>2.7.</v>
      </c>
      <c r="J189" s="347" t="s">
        <v>547</v>
      </c>
      <c r="BF189" s="342"/>
    </row>
    <row r="190" spans="3:312" ht="15" customHeight="1" x14ac:dyDescent="0.25">
      <c r="F190" s="342"/>
      <c r="BF190" s="342"/>
    </row>
    <row r="191" spans="3:312" ht="15" customHeight="1" thickBot="1" x14ac:dyDescent="0.3">
      <c r="C191" s="73" t="str">
        <f>$C$189&amp;".1"</f>
        <v>7.1</v>
      </c>
      <c r="D191" s="73"/>
      <c r="E191" s="21"/>
      <c r="F191" s="342"/>
      <c r="G191" s="19"/>
      <c r="H191" s="19"/>
      <c r="I191" s="19"/>
      <c r="J191" s="77" t="str">
        <f>CONCATENATE($B$2,".",$C191,".")</f>
        <v>2.7.1.</v>
      </c>
      <c r="K191" s="756" t="s">
        <v>674</v>
      </c>
      <c r="L191" s="756"/>
      <c r="M191" s="756"/>
      <c r="N191" s="756"/>
      <c r="O191" s="756"/>
      <c r="P191" s="756"/>
      <c r="Q191" s="756"/>
      <c r="R191" s="756"/>
      <c r="S191" s="756"/>
      <c r="T191" s="756"/>
      <c r="U191" s="756"/>
      <c r="V191" s="756"/>
      <c r="W191" s="756"/>
      <c r="X191" s="756"/>
      <c r="Y191" s="756"/>
      <c r="Z191" s="756"/>
      <c r="AA191" s="756"/>
      <c r="AB191" s="756"/>
      <c r="AC191" s="756"/>
      <c r="AD191" s="756"/>
      <c r="AE191" s="756"/>
      <c r="AF191" s="756"/>
      <c r="AG191" s="756"/>
      <c r="AH191" s="756"/>
      <c r="AI191" s="756"/>
      <c r="AJ191" s="756"/>
      <c r="AK191" s="756"/>
      <c r="AL191" s="756"/>
      <c r="AM191" s="756"/>
      <c r="AN191" s="756"/>
      <c r="AO191" s="756"/>
      <c r="BF191" s="342"/>
    </row>
    <row r="192" spans="3:312" ht="15" customHeight="1" x14ac:dyDescent="0.25">
      <c r="F192" s="342"/>
      <c r="BF192" s="342"/>
      <c r="BI192" s="772" t="s">
        <v>18</v>
      </c>
      <c r="BJ192" s="773"/>
      <c r="BK192" s="773"/>
      <c r="BL192" s="774"/>
    </row>
    <row r="193" spans="1:310" ht="15" customHeight="1" x14ac:dyDescent="0.25">
      <c r="C193" s="73">
        <v>1</v>
      </c>
      <c r="F193" s="342"/>
      <c r="K193" s="350" t="str">
        <f>CONCATENATE(J191,$C193,".")</f>
        <v>2.7.1.1.</v>
      </c>
      <c r="L193" s="760" t="str">
        <f>"Par défaut, un taux de rejets moyen de "&amp;Paramètres!F119*100&amp;" % aux centres de tri des matières recyclables est appliqué aux résultats obtenus. 
Si vous connaissez le taux de rejet spécifique à votre territoire et désirez modifier celui utilisé par défaut, veuillez l'inscrire ici : "</f>
        <v xml:space="preserve">Par défaut, un taux de rejets moyen de 13 % aux centres de tri des matières recyclables est appliqué aux résultats obtenus. 
Si vous connaissez le taux de rejet spécifique à votre territoire et désirez modifier celui utilisé par défaut, veuillez l'inscrire ici : </v>
      </c>
      <c r="M193" s="760"/>
      <c r="N193" s="760"/>
      <c r="O193" s="760"/>
      <c r="P193" s="760"/>
      <c r="Q193" s="760"/>
      <c r="R193" s="760"/>
      <c r="S193" s="760"/>
      <c r="T193" s="760"/>
      <c r="U193" s="760"/>
      <c r="V193" s="760"/>
      <c r="W193" s="760"/>
      <c r="X193" s="760"/>
      <c r="Y193" s="760"/>
      <c r="Z193" s="760"/>
      <c r="AA193" s="760"/>
      <c r="AB193" s="760"/>
      <c r="AC193" s="760"/>
      <c r="AD193" s="760"/>
      <c r="AE193" s="760"/>
      <c r="AF193" s="760"/>
      <c r="AG193" s="760"/>
      <c r="AH193" s="760"/>
      <c r="AI193" s="760"/>
      <c r="AJ193" s="760"/>
      <c r="AK193" s="760"/>
      <c r="AL193" s="760"/>
      <c r="AM193" s="760"/>
      <c r="AN193" s="760"/>
      <c r="AO193" s="760"/>
      <c r="AP193" s="760"/>
      <c r="AQ193" s="760"/>
      <c r="AR193" s="760"/>
      <c r="AS193" s="760"/>
      <c r="AT193" s="760"/>
      <c r="AU193" s="760"/>
      <c r="BF193" s="342"/>
      <c r="BI193" s="775" t="s">
        <v>17</v>
      </c>
      <c r="BJ193" s="776"/>
      <c r="BK193" s="776"/>
      <c r="BL193" s="777"/>
      <c r="CW193" s="19"/>
      <c r="CX193" s="19"/>
    </row>
    <row r="194" spans="1:310" ht="15" customHeight="1" thickBot="1" x14ac:dyDescent="0.3">
      <c r="F194" s="342"/>
      <c r="J194" s="341"/>
      <c r="L194" s="760"/>
      <c r="M194" s="760"/>
      <c r="N194" s="760"/>
      <c r="O194" s="760"/>
      <c r="P194" s="760"/>
      <c r="Q194" s="760"/>
      <c r="R194" s="760"/>
      <c r="S194" s="760"/>
      <c r="T194" s="760"/>
      <c r="U194" s="760"/>
      <c r="V194" s="760"/>
      <c r="W194" s="760"/>
      <c r="X194" s="760"/>
      <c r="Y194" s="760"/>
      <c r="Z194" s="760"/>
      <c r="AA194" s="760"/>
      <c r="AB194" s="760"/>
      <c r="AC194" s="760"/>
      <c r="AD194" s="760"/>
      <c r="AE194" s="760"/>
      <c r="AF194" s="760"/>
      <c r="AG194" s="760"/>
      <c r="AH194" s="760"/>
      <c r="AI194" s="760"/>
      <c r="AJ194" s="760"/>
      <c r="AK194" s="760"/>
      <c r="AL194" s="760"/>
      <c r="AM194" s="760"/>
      <c r="AN194" s="760"/>
      <c r="AO194" s="760"/>
      <c r="AP194" s="760"/>
      <c r="AQ194" s="760"/>
      <c r="AR194" s="760"/>
      <c r="AS194" s="760"/>
      <c r="AT194" s="760"/>
      <c r="AU194" s="760"/>
      <c r="AV194" s="761"/>
      <c r="AW194" s="761"/>
      <c r="AX194" s="761"/>
      <c r="BF194" s="342"/>
      <c r="BI194" s="744">
        <f>IF(AV194="",Paramètres!F119,AV194)</f>
        <v>0.13</v>
      </c>
      <c r="BJ194" s="745"/>
      <c r="BK194" s="745"/>
      <c r="BL194" s="746"/>
    </row>
    <row r="195" spans="1:310" ht="15" customHeight="1" x14ac:dyDescent="0.25">
      <c r="F195" s="342"/>
      <c r="BF195" s="342"/>
    </row>
    <row r="196" spans="1:310" ht="15" customHeight="1" x14ac:dyDescent="0.25">
      <c r="C196" s="5">
        <v>2</v>
      </c>
      <c r="F196" s="342"/>
      <c r="K196" s="350" t="str">
        <f>CONCATENATE($J$191,$C196,".")</f>
        <v>2.7.1.2.</v>
      </c>
      <c r="L196" s="728" t="str">
        <f>"Tel qu'indiqué à la section "&amp;J74&amp;", le taux de rejets de "&amp;BI75*100&amp;" % aux centres de valorisation des matières organiques est appliqué aux résultats obtenus."</f>
        <v>Tel qu'indiqué à la section 2.3.3., le taux de rejets de 4 % aux centres de valorisation des matières organiques est appliqué aux résultats obtenus.</v>
      </c>
      <c r="M196" s="728"/>
      <c r="N196" s="728"/>
      <c r="O196" s="728"/>
      <c r="P196" s="728"/>
      <c r="Q196" s="728"/>
      <c r="R196" s="728"/>
      <c r="S196" s="728"/>
      <c r="T196" s="728"/>
      <c r="U196" s="728"/>
      <c r="V196" s="728"/>
      <c r="W196" s="728"/>
      <c r="X196" s="728"/>
      <c r="Y196" s="728"/>
      <c r="Z196" s="728"/>
      <c r="AA196" s="728"/>
      <c r="AB196" s="728"/>
      <c r="AC196" s="728"/>
      <c r="AD196" s="728"/>
      <c r="AE196" s="728"/>
      <c r="AF196" s="728"/>
      <c r="AG196" s="728"/>
      <c r="AH196" s="728"/>
      <c r="AI196" s="728"/>
      <c r="AJ196" s="728"/>
      <c r="AK196" s="728"/>
      <c r="AL196" s="728"/>
      <c r="AM196" s="728"/>
      <c r="AN196" s="728"/>
      <c r="AO196" s="728"/>
      <c r="AP196" s="728"/>
      <c r="AQ196" s="728"/>
      <c r="AR196" s="728"/>
      <c r="AS196" s="728"/>
      <c r="AT196" s="728"/>
      <c r="AU196" s="728"/>
      <c r="AV196" s="728"/>
      <c r="AW196" s="728"/>
      <c r="AX196" s="728"/>
      <c r="AY196" s="728"/>
      <c r="AZ196" s="728"/>
      <c r="BA196" s="728"/>
      <c r="BF196" s="342"/>
    </row>
    <row r="197" spans="1:310" ht="15" customHeight="1" x14ac:dyDescent="0.25">
      <c r="F197" s="342"/>
      <c r="BF197" s="342"/>
    </row>
    <row r="198" spans="1:310" ht="15" customHeight="1" x14ac:dyDescent="0.25">
      <c r="A198" s="5" t="s">
        <v>19</v>
      </c>
      <c r="C198" s="73">
        <v>3</v>
      </c>
      <c r="D198" s="73"/>
      <c r="E198" s="21"/>
      <c r="F198" s="342"/>
      <c r="G198" s="19"/>
      <c r="H198" s="19"/>
      <c r="I198" s="19"/>
      <c r="K198" s="350" t="str">
        <f>CONCATENATE($J$191,$C198,".")</f>
        <v>2.7.1.3.</v>
      </c>
      <c r="L198" s="769" t="s">
        <v>675</v>
      </c>
      <c r="M198" s="769"/>
      <c r="N198" s="769"/>
      <c r="O198" s="769"/>
      <c r="P198" s="769"/>
      <c r="Q198" s="769"/>
      <c r="R198" s="769"/>
      <c r="S198" s="769"/>
      <c r="T198" s="769"/>
      <c r="U198" s="769"/>
      <c r="V198" s="769"/>
      <c r="W198" s="769"/>
      <c r="X198" s="769"/>
      <c r="Y198" s="769"/>
      <c r="Z198" s="769"/>
      <c r="AA198" s="769"/>
      <c r="AB198" s="769"/>
      <c r="AC198" s="769"/>
      <c r="AD198" s="769"/>
      <c r="AE198" s="769"/>
      <c r="AF198" s="769"/>
      <c r="AG198" s="769"/>
      <c r="AH198" s="769"/>
      <c r="AI198" s="769"/>
      <c r="AJ198" s="769"/>
      <c r="AK198" s="769"/>
      <c r="AU198" s="142"/>
      <c r="AV198" s="142"/>
      <c r="AW198" s="142"/>
      <c r="AX198" s="142"/>
      <c r="AY198" s="142"/>
      <c r="AZ198" s="142"/>
      <c r="BA198" s="142"/>
      <c r="BB198" s="142"/>
      <c r="BC198" s="142"/>
      <c r="BF198" s="342"/>
    </row>
    <row r="199" spans="1:310" ht="15" customHeight="1" x14ac:dyDescent="0.25">
      <c r="C199" s="73"/>
      <c r="D199" s="73"/>
      <c r="E199" s="21"/>
      <c r="F199" s="342"/>
      <c r="G199" s="19"/>
      <c r="H199" s="19"/>
      <c r="I199" s="19"/>
      <c r="J199" s="77"/>
      <c r="K199" s="311"/>
      <c r="L199" s="769"/>
      <c r="M199" s="769"/>
      <c r="N199" s="769"/>
      <c r="O199" s="769"/>
      <c r="P199" s="769"/>
      <c r="Q199" s="769"/>
      <c r="R199" s="769"/>
      <c r="S199" s="769"/>
      <c r="T199" s="769"/>
      <c r="U199" s="769"/>
      <c r="V199" s="769"/>
      <c r="W199" s="769"/>
      <c r="X199" s="769"/>
      <c r="Y199" s="769"/>
      <c r="Z199" s="769"/>
      <c r="AA199" s="769"/>
      <c r="AB199" s="769"/>
      <c r="AC199" s="769"/>
      <c r="AD199" s="769"/>
      <c r="AE199" s="769"/>
      <c r="AF199" s="769"/>
      <c r="AG199" s="769"/>
      <c r="AH199" s="769"/>
      <c r="AI199" s="769"/>
      <c r="AJ199" s="769"/>
      <c r="AK199" s="769"/>
      <c r="AM199" s="759"/>
      <c r="AN199" s="759"/>
      <c r="AO199" s="759"/>
      <c r="AP199" s="759"/>
      <c r="AQ199" s="759"/>
      <c r="AR199" s="759"/>
      <c r="AS199" s="759"/>
      <c r="AT199" s="759"/>
      <c r="AU199" s="759"/>
      <c r="AV199" s="142"/>
      <c r="AW199" s="142"/>
      <c r="AX199" s="142"/>
      <c r="AY199" s="142"/>
      <c r="AZ199" s="142"/>
      <c r="BA199" s="142"/>
      <c r="BB199" s="142"/>
      <c r="BC199" s="142"/>
      <c r="BF199" s="342"/>
      <c r="CG199" s="5" t="s">
        <v>591</v>
      </c>
    </row>
    <row r="200" spans="1:310" ht="15" customHeight="1" thickBot="1" x14ac:dyDescent="0.3">
      <c r="C200" s="73"/>
      <c r="D200" s="73"/>
      <c r="E200" s="21"/>
      <c r="F200" s="342"/>
      <c r="G200" s="19"/>
      <c r="H200" s="19"/>
      <c r="I200" s="19"/>
      <c r="J200" s="19"/>
      <c r="K200" s="19"/>
      <c r="L200" s="19"/>
      <c r="M200" s="19"/>
      <c r="N200" s="19"/>
      <c r="O200" s="19"/>
      <c r="P200" s="19"/>
      <c r="Q200" s="19"/>
      <c r="R200" s="19"/>
      <c r="S200" s="19"/>
      <c r="T200" s="19"/>
      <c r="U200" s="19"/>
      <c r="V200" s="19"/>
      <c r="W200" s="19"/>
      <c r="X200" s="19"/>
      <c r="Y200" s="21"/>
      <c r="Z200" s="19"/>
      <c r="AA200" s="19"/>
      <c r="AK200" s="19"/>
      <c r="AL200" s="19"/>
      <c r="AM200" s="19"/>
      <c r="AN200" s="19"/>
      <c r="AO200" s="19"/>
      <c r="AP200" s="19"/>
      <c r="AQ200" s="19"/>
      <c r="AR200" s="19"/>
      <c r="AS200" s="19"/>
      <c r="AT200" s="19"/>
      <c r="AU200" s="19"/>
      <c r="AV200" s="19"/>
      <c r="AW200" s="19"/>
      <c r="AX200" s="19"/>
      <c r="AY200" s="19"/>
      <c r="AZ200" s="19"/>
      <c r="BA200" s="19"/>
      <c r="BB200" s="19"/>
      <c r="BC200" s="19"/>
      <c r="BF200" s="342"/>
      <c r="CG200" s="928" t="str">
        <f>Q42</f>
        <v>N.D.</v>
      </c>
      <c r="CH200" s="928"/>
      <c r="CI200" s="928"/>
      <c r="CJ200" s="928"/>
      <c r="CK200" s="928"/>
    </row>
    <row r="201" spans="1:310" ht="15" customHeight="1" thickBot="1" x14ac:dyDescent="0.3">
      <c r="C201" s="73">
        <v>4</v>
      </c>
      <c r="D201" s="73">
        <v>5</v>
      </c>
      <c r="E201" s="21"/>
      <c r="F201" s="342"/>
      <c r="G201" s="19"/>
      <c r="H201" s="19"/>
      <c r="I201" s="19"/>
      <c r="J201" s="77"/>
      <c r="K201" s="350" t="str">
        <f>CONCATENATE($J$191,$C201,".")</f>
        <v>2.7.1.4.</v>
      </c>
      <c r="L201" s="728" t="str">
        <f>txt_outil&amp;IF(res_utiliser_rejets=menu_utilisateur,donnees_infos,donnees_calculs)</f>
        <v>Données suggérées par l'outil - UTILISÉES DANS LES RÉSULTATS</v>
      </c>
      <c r="M201" s="728"/>
      <c r="N201" s="728"/>
      <c r="O201" s="728"/>
      <c r="P201" s="728"/>
      <c r="Q201" s="728"/>
      <c r="R201" s="728"/>
      <c r="S201" s="728"/>
      <c r="T201" s="728"/>
      <c r="U201" s="728"/>
      <c r="V201" s="728"/>
      <c r="W201" s="728"/>
      <c r="X201" s="728"/>
      <c r="Y201" s="728"/>
      <c r="Z201" s="728"/>
      <c r="AA201" s="728"/>
      <c r="AB201" s="728"/>
      <c r="AC201" s="728"/>
      <c r="AD201" s="728"/>
      <c r="AE201" s="19"/>
      <c r="AF201" s="19"/>
      <c r="AG201" s="19"/>
      <c r="AH201" s="19"/>
      <c r="AI201" s="350" t="str">
        <f>CONCATENATE($J$191,$D201,".")</f>
        <v>2.7.1.5.</v>
      </c>
      <c r="AJ201" s="733" t="str">
        <f>txt_utilisateur&amp;IF(res_utiliser_rejets=menu_utilisateur,donnees_calculs,donnees_infos)</f>
        <v xml:space="preserve">Données saisies par l'utilisateur (fournies à titre indicatif seulement) </v>
      </c>
      <c r="AK201" s="733"/>
      <c r="AL201" s="733"/>
      <c r="AM201" s="733"/>
      <c r="AN201" s="733"/>
      <c r="AO201" s="733"/>
      <c r="AP201" s="733"/>
      <c r="AQ201" s="733"/>
      <c r="AR201" s="733"/>
      <c r="AS201" s="733"/>
      <c r="AT201" s="733"/>
      <c r="AU201" s="733"/>
      <c r="AV201" s="733"/>
      <c r="AW201" s="733"/>
      <c r="AX201" s="733"/>
      <c r="AY201" s="733"/>
      <c r="AZ201" s="733"/>
      <c r="BA201" s="733"/>
      <c r="BB201" s="733"/>
      <c r="BC201" s="733"/>
      <c r="BF201" s="342"/>
      <c r="BH201" s="106"/>
      <c r="BI201" s="737"/>
      <c r="BJ201" s="737"/>
      <c r="BK201" s="737"/>
      <c r="BL201" s="737"/>
      <c r="BM201" s="737"/>
      <c r="BN201" s="737"/>
      <c r="BO201" s="737"/>
      <c r="BP201" s="737"/>
      <c r="BQ201" s="737"/>
      <c r="BR201" s="737"/>
      <c r="BS201" s="737"/>
      <c r="BT201" s="737"/>
      <c r="BU201" s="737"/>
      <c r="BV201" s="737"/>
      <c r="BW201" s="737"/>
      <c r="BX201" s="737"/>
      <c r="BY201" s="737"/>
      <c r="BZ201" s="737"/>
      <c r="CA201" s="737"/>
      <c r="CB201" s="737"/>
      <c r="CC201" s="737"/>
      <c r="CD201" s="737"/>
      <c r="CE201" s="108"/>
      <c r="CI201" s="927" t="s">
        <v>661</v>
      </c>
      <c r="CJ201" s="927"/>
      <c r="CK201" s="927"/>
      <c r="CL201" s="927"/>
      <c r="CM201" s="927"/>
      <c r="CN201" s="927"/>
      <c r="CO201" s="927"/>
      <c r="CP201" s="927"/>
      <c r="CQ201" s="927"/>
      <c r="CR201" s="927"/>
      <c r="CS201" s="927"/>
      <c r="CT201" s="927"/>
      <c r="CU201" s="927"/>
      <c r="CV201" s="927"/>
      <c r="CW201" s="927"/>
      <c r="CX201" s="927"/>
      <c r="DG201" s="927" t="s">
        <v>661</v>
      </c>
      <c r="DH201" s="927"/>
      <c r="DI201" s="927"/>
      <c r="DJ201" s="927"/>
      <c r="DK201" s="927"/>
      <c r="DL201" s="927"/>
      <c r="DM201" s="927"/>
      <c r="DN201" s="927"/>
      <c r="DO201" s="927"/>
      <c r="DP201" s="927"/>
      <c r="DQ201" s="927"/>
      <c r="DR201" s="927"/>
      <c r="DS201" s="927"/>
      <c r="DT201" s="927"/>
      <c r="DU201" s="927"/>
      <c r="DV201" s="927"/>
    </row>
    <row r="202" spans="1:310" s="19" customFormat="1" ht="15" customHeight="1" x14ac:dyDescent="0.25">
      <c r="C202" s="73"/>
      <c r="D202" s="73"/>
      <c r="E202" s="21"/>
      <c r="F202" s="342"/>
      <c r="J202" s="77"/>
      <c r="K202" s="22"/>
      <c r="X202" s="194"/>
      <c r="Y202" s="194"/>
      <c r="AI202" s="77"/>
      <c r="AJ202" s="22"/>
      <c r="AN202" s="61"/>
      <c r="AP202" s="61"/>
      <c r="AY202" s="61"/>
      <c r="AZ202" s="61"/>
      <c r="BF202" s="342"/>
      <c r="BH202" s="363"/>
      <c r="BI202" s="710" t="s">
        <v>488</v>
      </c>
      <c r="BJ202" s="710"/>
      <c r="BK202" s="710"/>
      <c r="BL202" s="710"/>
      <c r="BM202" s="710"/>
      <c r="BN202" s="710"/>
      <c r="BO202" s="710"/>
      <c r="BP202" s="710"/>
      <c r="BQ202" s="710"/>
      <c r="BR202" s="710"/>
      <c r="BS202" s="710"/>
      <c r="BT202" s="710"/>
      <c r="BU202" s="710"/>
      <c r="BV202" s="710"/>
      <c r="BW202" s="710"/>
      <c r="BX202" s="710"/>
      <c r="BY202" s="710"/>
      <c r="BZ202" s="710"/>
      <c r="CA202" s="710"/>
      <c r="CB202" s="710"/>
      <c r="CC202" s="710"/>
      <c r="CD202" s="710"/>
      <c r="CE202" s="364"/>
      <c r="CG202" s="56"/>
      <c r="CH202" s="23"/>
      <c r="CI202" s="23"/>
      <c r="CJ202" s="23"/>
      <c r="CK202" s="23"/>
      <c r="CL202" s="23"/>
      <c r="CM202" s="23"/>
      <c r="CN202" s="23"/>
      <c r="CO202" s="23"/>
      <c r="CP202" s="23"/>
      <c r="CQ202" s="23"/>
      <c r="CR202" s="23"/>
      <c r="CS202" s="23"/>
      <c r="CT202" s="24"/>
      <c r="CU202" s="56"/>
      <c r="CV202" s="23"/>
      <c r="CW202" s="23"/>
      <c r="CX202" s="23"/>
      <c r="CY202" s="23"/>
      <c r="CZ202" s="23"/>
      <c r="DA202" s="24"/>
      <c r="DE202" s="56"/>
      <c r="DF202" s="23"/>
      <c r="DG202" s="23"/>
      <c r="DH202" s="23"/>
      <c r="DI202" s="23"/>
      <c r="DJ202" s="23"/>
      <c r="DK202" s="23"/>
      <c r="DL202" s="23"/>
      <c r="DM202" s="23"/>
      <c r="DN202" s="23"/>
      <c r="DO202" s="23"/>
      <c r="DP202" s="23"/>
      <c r="DQ202" s="23"/>
      <c r="DR202" s="24"/>
      <c r="DS202" s="56"/>
      <c r="DT202" s="23"/>
      <c r="DU202" s="23"/>
      <c r="DV202" s="23"/>
      <c r="DW202" s="23"/>
      <c r="DX202" s="23"/>
      <c r="DY202" s="24"/>
      <c r="KE202" s="5"/>
      <c r="KF202" s="5"/>
      <c r="KG202" s="5"/>
      <c r="KH202" s="5"/>
      <c r="KI202" s="5"/>
      <c r="KJ202" s="5"/>
      <c r="KK202" s="5"/>
      <c r="KL202" s="5"/>
      <c r="KM202" s="5"/>
      <c r="KN202" s="5"/>
      <c r="KO202" s="5"/>
      <c r="KP202" s="5"/>
      <c r="KQ202" s="5"/>
      <c r="KR202" s="5"/>
      <c r="KS202" s="5"/>
      <c r="KT202" s="5"/>
      <c r="KU202" s="5"/>
      <c r="KV202" s="5"/>
      <c r="KW202" s="5"/>
      <c r="KX202" s="5"/>
    </row>
    <row r="203" spans="1:310" ht="15" customHeight="1" x14ac:dyDescent="0.25">
      <c r="C203" s="72"/>
      <c r="D203" s="72"/>
      <c r="E203" s="36"/>
      <c r="F203" s="342"/>
      <c r="I203" s="26"/>
      <c r="Q203" s="19"/>
      <c r="R203" s="19"/>
      <c r="S203" s="19"/>
      <c r="T203" s="19"/>
      <c r="W203" s="710" t="s">
        <v>611</v>
      </c>
      <c r="X203" s="715"/>
      <c r="Y203" s="715"/>
      <c r="Z203" s="715"/>
      <c r="AA203" s="19"/>
      <c r="AB203" s="19"/>
      <c r="AC203" s="19"/>
      <c r="AH203" s="26"/>
      <c r="AP203" s="61"/>
      <c r="AQ203" s="19"/>
      <c r="AR203" s="19"/>
      <c r="AS203" s="19"/>
      <c r="AT203" s="4"/>
      <c r="AV203" s="715" t="str">
        <f>W203</f>
        <v>Éliminé (t)</v>
      </c>
      <c r="AW203" s="715"/>
      <c r="AX203" s="715"/>
      <c r="AY203" s="715"/>
      <c r="AZ203" s="61"/>
      <c r="BF203" s="342"/>
      <c r="BH203" s="353"/>
      <c r="BI203" s="348"/>
      <c r="BJ203" s="348"/>
      <c r="BK203" s="348"/>
      <c r="BL203" s="348"/>
      <c r="BM203" s="348"/>
      <c r="BN203" s="348"/>
      <c r="BO203" s="348"/>
      <c r="BP203" s="348"/>
      <c r="BQ203" s="4"/>
      <c r="BR203" s="4"/>
      <c r="BS203" s="4"/>
      <c r="BT203" s="4"/>
      <c r="BU203" s="4"/>
      <c r="BV203" s="715" t="str">
        <f>W203</f>
        <v>Éliminé (t)</v>
      </c>
      <c r="BW203" s="715"/>
      <c r="BX203" s="715"/>
      <c r="BY203" s="715"/>
      <c r="BZ203" s="19"/>
      <c r="CA203" s="4"/>
      <c r="CB203" s="4"/>
      <c r="CC203" s="4"/>
      <c r="CD203" s="4"/>
      <c r="CE203" s="354"/>
      <c r="CG203" s="57"/>
      <c r="CH203" s="26"/>
      <c r="CJ203" s="199" t="s">
        <v>20</v>
      </c>
      <c r="CP203" s="710" t="s">
        <v>286</v>
      </c>
      <c r="CQ203" s="715"/>
      <c r="CR203" s="715"/>
      <c r="CS203" s="715"/>
      <c r="CT203" s="27"/>
      <c r="CU203" s="57"/>
      <c r="CV203" s="738" t="s">
        <v>21</v>
      </c>
      <c r="CW203" s="738"/>
      <c r="CX203" s="738"/>
      <c r="CY203" s="738"/>
      <c r="CZ203" s="738"/>
      <c r="DA203" s="27"/>
      <c r="DE203" s="57"/>
      <c r="DF203" s="26"/>
      <c r="DH203" s="199" t="s">
        <v>659</v>
      </c>
      <c r="DN203" s="710" t="s">
        <v>286</v>
      </c>
      <c r="DO203" s="715"/>
      <c r="DP203" s="715"/>
      <c r="DQ203" s="715"/>
      <c r="DR203" s="27"/>
      <c r="DS203" s="57"/>
      <c r="DT203" s="738" t="s">
        <v>21</v>
      </c>
      <c r="DU203" s="738"/>
      <c r="DV203" s="738"/>
      <c r="DW203" s="738"/>
      <c r="DX203" s="738"/>
      <c r="DY203" s="27"/>
    </row>
    <row r="204" spans="1:310" ht="15" customHeight="1" x14ac:dyDescent="0.25">
      <c r="C204" s="72"/>
      <c r="D204" s="72"/>
      <c r="E204" s="36"/>
      <c r="F204" s="342"/>
      <c r="I204" s="701" t="s">
        <v>672</v>
      </c>
      <c r="J204" s="701"/>
      <c r="K204" s="701"/>
      <c r="L204" s="701"/>
      <c r="M204" s="701"/>
      <c r="N204" s="701"/>
      <c r="O204" s="701"/>
      <c r="P204" s="701"/>
      <c r="Q204" s="701"/>
      <c r="R204" s="701"/>
      <c r="S204" s="701"/>
      <c r="T204" s="701"/>
      <c r="U204" s="701"/>
      <c r="V204" s="701"/>
      <c r="W204" s="762" t="str">
        <f>IF(res_utiliser_recyclables=menu_utilisateur,DN204,CP204)</f>
        <v>N.D.</v>
      </c>
      <c r="X204" s="762"/>
      <c r="Y204" s="762"/>
      <c r="Z204" s="762"/>
      <c r="AA204" s="19"/>
      <c r="AB204" s="19"/>
      <c r="AC204" s="19"/>
      <c r="AH204" s="701" t="str">
        <f>I204</f>
        <v>Rejets de la collecte sélective résidentielle</v>
      </c>
      <c r="AI204" s="701"/>
      <c r="AJ204" s="701"/>
      <c r="AK204" s="701"/>
      <c r="AL204" s="701"/>
      <c r="AM204" s="701"/>
      <c r="AN204" s="701"/>
      <c r="AO204" s="701"/>
      <c r="AP204" s="701"/>
      <c r="AQ204" s="701"/>
      <c r="AR204" s="701"/>
      <c r="AS204" s="701"/>
      <c r="AT204" s="701"/>
      <c r="AU204" s="701"/>
      <c r="AV204" s="722"/>
      <c r="AW204" s="722"/>
      <c r="AX204" s="722"/>
      <c r="AY204" s="722"/>
      <c r="AZ204" s="61"/>
      <c r="BF204" s="342"/>
      <c r="BH204" s="353"/>
      <c r="BI204" s="691" t="str">
        <f>I204</f>
        <v>Rejets de la collecte sélective résidentielle</v>
      </c>
      <c r="BJ204" s="691"/>
      <c r="BK204" s="691"/>
      <c r="BL204" s="691"/>
      <c r="BM204" s="691"/>
      <c r="BN204" s="691"/>
      <c r="BO204" s="691"/>
      <c r="BP204" s="691"/>
      <c r="BQ204" s="691"/>
      <c r="BR204" s="691"/>
      <c r="BS204" s="691"/>
      <c r="BT204" s="691"/>
      <c r="BU204" s="172"/>
      <c r="BV204" s="743" t="str">
        <f>IF(res_utiliser_rejets=menu_utilisateur,IF(OR(AV204="",AV204=N.D.),N.D.,AV204),IF(OR(res_utiliser_rejets="",W204="",W204=N.D.),N.D.,W204))</f>
        <v>N.D.</v>
      </c>
      <c r="BW204" s="743"/>
      <c r="BX204" s="743"/>
      <c r="BY204" s="743"/>
      <c r="BZ204" s="390"/>
      <c r="CA204" s="4"/>
      <c r="CB204" s="4"/>
      <c r="CC204" s="4"/>
      <c r="CD204" s="4"/>
      <c r="CE204" s="354"/>
      <c r="CG204" s="57"/>
      <c r="CH204" s="701" t="s">
        <v>599</v>
      </c>
      <c r="CI204" s="701"/>
      <c r="CJ204" s="701"/>
      <c r="CK204" s="701"/>
      <c r="CL204" s="701"/>
      <c r="CM204" s="701"/>
      <c r="CN204" s="701"/>
      <c r="CO204" s="701"/>
      <c r="CP204" s="702" t="str">
        <f>IF(CV204=N.D.,N.D.,CV204)</f>
        <v>N.D.</v>
      </c>
      <c r="CQ204" s="702"/>
      <c r="CR204" s="702"/>
      <c r="CS204" s="702"/>
      <c r="CT204" s="27"/>
      <c r="CU204" s="57"/>
      <c r="CV204" s="739" t="str">
        <f>IF(Q42=N.D.,N.D.,(Q42/(1-$BI$194))*$BI$194)</f>
        <v>N.D.</v>
      </c>
      <c r="CW204" s="740"/>
      <c r="CX204" s="740"/>
      <c r="CY204" s="740"/>
      <c r="CZ204" s="740"/>
      <c r="DA204" s="27"/>
      <c r="DE204" s="57"/>
      <c r="DF204" s="701" t="s">
        <v>599</v>
      </c>
      <c r="DG204" s="701"/>
      <c r="DH204" s="701"/>
      <c r="DI204" s="701"/>
      <c r="DJ204" s="701"/>
      <c r="DK204" s="701"/>
      <c r="DL204" s="701"/>
      <c r="DM204" s="701"/>
      <c r="DN204" s="702" t="str">
        <f>IF(DT204=N.D.,N.D.,DT204)</f>
        <v>N.D.</v>
      </c>
      <c r="DO204" s="702"/>
      <c r="DP204" s="702"/>
      <c r="DQ204" s="702"/>
      <c r="DR204" s="27"/>
      <c r="DS204" s="57"/>
      <c r="DT204" s="739" t="str">
        <f>IF(OR(AP42=N.D.,AP42=""),N.D.,(AP42/(1-$BI$194))*$BI$194)</f>
        <v>N.D.</v>
      </c>
      <c r="DU204" s="740"/>
      <c r="DV204" s="740"/>
      <c r="DW204" s="740"/>
      <c r="DX204" s="740"/>
      <c r="DY204" s="27"/>
    </row>
    <row r="205" spans="1:310" ht="15" customHeight="1" x14ac:dyDescent="0.25">
      <c r="C205" s="72"/>
      <c r="D205" s="72"/>
      <c r="E205" s="36"/>
      <c r="F205" s="342"/>
      <c r="I205" s="701" t="s">
        <v>658</v>
      </c>
      <c r="J205" s="701"/>
      <c r="K205" s="701"/>
      <c r="L205" s="701"/>
      <c r="M205" s="701"/>
      <c r="N205" s="701"/>
      <c r="O205" s="701"/>
      <c r="P205" s="701"/>
      <c r="Q205" s="701"/>
      <c r="R205" s="701"/>
      <c r="S205" s="701"/>
      <c r="T205" s="701"/>
      <c r="U205" s="701"/>
      <c r="V205" s="701"/>
      <c r="W205" s="702" t="str">
        <f>CP205</f>
        <v>N.D.</v>
      </c>
      <c r="X205" s="702"/>
      <c r="Y205" s="702"/>
      <c r="Z205" s="702"/>
      <c r="AA205" s="19"/>
      <c r="AB205" s="19"/>
      <c r="AC205" s="19"/>
      <c r="AH205" s="701" t="str">
        <f>I205</f>
        <v>Rejets de la collecte des M.O. résidentielles</v>
      </c>
      <c r="AI205" s="701"/>
      <c r="AJ205" s="701"/>
      <c r="AK205" s="701"/>
      <c r="AL205" s="701"/>
      <c r="AM205" s="701"/>
      <c r="AN205" s="701"/>
      <c r="AO205" s="701"/>
      <c r="AP205" s="701"/>
      <c r="AQ205" s="701"/>
      <c r="AR205" s="701"/>
      <c r="AS205" s="701"/>
      <c r="AT205" s="701"/>
      <c r="AU205" s="701"/>
      <c r="AV205" s="722"/>
      <c r="AW205" s="722"/>
      <c r="AX205" s="722"/>
      <c r="AY205" s="722"/>
      <c r="AZ205" s="61"/>
      <c r="BF205" s="342"/>
      <c r="BH205" s="353"/>
      <c r="BI205" s="763" t="str">
        <f>I205</f>
        <v>Rejets de la collecte des M.O. résidentielles</v>
      </c>
      <c r="BJ205" s="763"/>
      <c r="BK205" s="763"/>
      <c r="BL205" s="763"/>
      <c r="BM205" s="763"/>
      <c r="BN205" s="763"/>
      <c r="BO205" s="763"/>
      <c r="BP205" s="763"/>
      <c r="BQ205" s="763"/>
      <c r="BR205" s="763"/>
      <c r="BS205" s="763"/>
      <c r="BT205" s="763"/>
      <c r="BU205" s="172"/>
      <c r="BV205" s="743" t="str">
        <f>IF(res_utiliser_rejets=menu_utilisateur,IF(OR(AV205="",AV205=N.D.),N.D.,AV205),IF(OR(res_utiliser_rejets="",W205="",W205=N.D.),N.D.,W205))</f>
        <v>N.D.</v>
      </c>
      <c r="BW205" s="743"/>
      <c r="BX205" s="743"/>
      <c r="BY205" s="743"/>
      <c r="BZ205" s="172"/>
      <c r="CA205" s="4"/>
      <c r="CB205" s="4"/>
      <c r="CC205" s="4"/>
      <c r="CD205" s="4"/>
      <c r="CE205" s="354"/>
      <c r="CG205" s="57"/>
      <c r="CH205" s="691" t="s">
        <v>600</v>
      </c>
      <c r="CI205" s="691"/>
      <c r="CJ205" s="691"/>
      <c r="CK205" s="691"/>
      <c r="CL205" s="691"/>
      <c r="CM205" s="691"/>
      <c r="CN205" s="691"/>
      <c r="CO205" s="691"/>
      <c r="CP205" s="702" t="str">
        <f>IF(CV205=N.D.,N.D.,CV205)</f>
        <v>N.D.</v>
      </c>
      <c r="CQ205" s="702"/>
      <c r="CR205" s="702"/>
      <c r="CS205" s="702"/>
      <c r="CT205" s="27"/>
      <c r="CU205" s="57"/>
      <c r="CV205" s="739" t="str">
        <f>DT205</f>
        <v>N.D.</v>
      </c>
      <c r="CW205" s="740"/>
      <c r="CX205" s="740"/>
      <c r="CY205" s="740"/>
      <c r="CZ205" s="740"/>
      <c r="DA205" s="27"/>
      <c r="DE205" s="57"/>
      <c r="DF205" s="691" t="s">
        <v>600</v>
      </c>
      <c r="DG205" s="691"/>
      <c r="DH205" s="691"/>
      <c r="DI205" s="691"/>
      <c r="DJ205" s="691"/>
      <c r="DK205" s="691"/>
      <c r="DL205" s="691"/>
      <c r="DM205" s="691"/>
      <c r="DN205" s="702" t="str">
        <f>IF(DT205=N.D.,N.D.,DT205)</f>
        <v>N.D.</v>
      </c>
      <c r="DO205" s="702"/>
      <c r="DP205" s="702"/>
      <c r="DQ205" s="702"/>
      <c r="DR205" s="27"/>
      <c r="DS205" s="57"/>
      <c r="DT205" s="739" t="str">
        <f>CM61</f>
        <v>N.D.</v>
      </c>
      <c r="DU205" s="740"/>
      <c r="DV205" s="740"/>
      <c r="DW205" s="740"/>
      <c r="DX205" s="740"/>
      <c r="DY205" s="27"/>
    </row>
    <row r="206" spans="1:310" ht="6" customHeight="1" thickBot="1" x14ac:dyDescent="0.3">
      <c r="C206" s="72"/>
      <c r="D206" s="72"/>
      <c r="E206" s="36"/>
      <c r="F206" s="342"/>
      <c r="Q206" s="19"/>
      <c r="R206" s="19"/>
      <c r="S206" s="19"/>
      <c r="T206" s="19"/>
      <c r="AA206" s="19"/>
      <c r="AB206" s="19"/>
      <c r="AC206" s="19"/>
      <c r="AP206" s="61"/>
      <c r="AQ206" s="19"/>
      <c r="AR206" s="19"/>
      <c r="AS206" s="19"/>
      <c r="AZ206" s="61"/>
      <c r="BF206" s="342"/>
      <c r="BH206" s="353"/>
      <c r="BQ206" s="4"/>
      <c r="BR206" s="4"/>
      <c r="BS206" s="4"/>
      <c r="BT206" s="4"/>
      <c r="CA206" s="4"/>
      <c r="CB206" s="4"/>
      <c r="CC206" s="4"/>
      <c r="CD206" s="4"/>
      <c r="CE206" s="354"/>
      <c r="CG206" s="58"/>
      <c r="CH206" s="34"/>
      <c r="CI206" s="34"/>
      <c r="CJ206" s="34"/>
      <c r="CK206" s="34"/>
      <c r="CL206" s="34"/>
      <c r="CM206" s="34"/>
      <c r="CN206" s="34"/>
      <c r="CO206" s="34"/>
      <c r="CP206" s="34"/>
      <c r="CQ206" s="34"/>
      <c r="CR206" s="34"/>
      <c r="CS206" s="34"/>
      <c r="CT206" s="35"/>
      <c r="CU206" s="58"/>
      <c r="CV206" s="34"/>
      <c r="CW206" s="34"/>
      <c r="CX206" s="34"/>
      <c r="CY206" s="34"/>
      <c r="CZ206" s="34"/>
      <c r="DA206" s="35"/>
      <c r="DE206" s="58"/>
      <c r="DF206" s="34"/>
      <c r="DG206" s="34"/>
      <c r="DH206" s="34"/>
      <c r="DI206" s="34"/>
      <c r="DJ206" s="34"/>
      <c r="DK206" s="34"/>
      <c r="DL206" s="34"/>
      <c r="DM206" s="34"/>
      <c r="DN206" s="34"/>
      <c r="DO206" s="34"/>
      <c r="DP206" s="34"/>
      <c r="DQ206" s="34"/>
      <c r="DR206" s="35"/>
      <c r="DS206" s="58"/>
      <c r="DT206" s="34"/>
      <c r="DU206" s="34"/>
      <c r="DV206" s="34"/>
      <c r="DW206" s="34"/>
      <c r="DX206" s="34"/>
      <c r="DY206" s="35"/>
    </row>
    <row r="207" spans="1:310" ht="15" customHeight="1" x14ac:dyDescent="0.25">
      <c r="C207" s="72"/>
      <c r="D207" s="72"/>
      <c r="E207" s="36"/>
      <c r="F207" s="342"/>
      <c r="I207" s="691" t="s">
        <v>276</v>
      </c>
      <c r="J207" s="691"/>
      <c r="K207" s="691"/>
      <c r="L207" s="691"/>
      <c r="M207" s="691"/>
      <c r="N207" s="691"/>
      <c r="O207" s="691"/>
      <c r="P207" s="691"/>
      <c r="Q207" s="49"/>
      <c r="R207" s="49"/>
      <c r="S207" s="49"/>
      <c r="T207" s="49"/>
      <c r="U207" s="203"/>
      <c r="V207" s="31"/>
      <c r="W207" s="743" t="str">
        <f>IF(COUNTIF(W204:W205,N.D.)&gt;0,N.D.,SUM(W204:W205))</f>
        <v>N.D.</v>
      </c>
      <c r="X207" s="743"/>
      <c r="Y207" s="743"/>
      <c r="Z207" s="743"/>
      <c r="AA207" s="19"/>
      <c r="AB207" s="19"/>
      <c r="AC207" s="19"/>
      <c r="AH207" s="778" t="str">
        <f>I207</f>
        <v>Total</v>
      </c>
      <c r="AI207" s="778"/>
      <c r="AJ207" s="778"/>
      <c r="AK207" s="778"/>
      <c r="AL207" s="778"/>
      <c r="AM207" s="778"/>
      <c r="AN207" s="778"/>
      <c r="AO207" s="778"/>
      <c r="AP207" s="220"/>
      <c r="AQ207" s="49"/>
      <c r="AR207" s="49"/>
      <c r="AS207" s="49"/>
      <c r="AT207" s="64"/>
      <c r="AU207" s="31"/>
      <c r="AV207" s="765" t="str">
        <f>IF(COUNTA(AV204:AV205)=0,"",IF(AND(res_utiliser_rejets=menu_utilisateur,COUNTBLANK(AV204:AV205)&gt;0),N.D.,SUM(AV204:AV205)))</f>
        <v/>
      </c>
      <c r="AW207" s="765"/>
      <c r="AX207" s="765"/>
      <c r="AY207" s="765"/>
      <c r="AZ207" s="61"/>
      <c r="BF207" s="342"/>
      <c r="BH207" s="353"/>
      <c r="BI207" s="730" t="str">
        <f>$I$226</f>
        <v>Total</v>
      </c>
      <c r="BJ207" s="730"/>
      <c r="BK207" s="730"/>
      <c r="BL207" s="730"/>
      <c r="BM207" s="730"/>
      <c r="BN207" s="730"/>
      <c r="BO207" s="730"/>
      <c r="BP207" s="730"/>
      <c r="BQ207" s="221"/>
      <c r="BR207" s="221"/>
      <c r="BS207" s="221"/>
      <c r="BT207" s="221"/>
      <c r="BU207" s="388"/>
      <c r="BV207" s="743" t="str">
        <f>IF(COUNTIF(BV204:BV205,N.D.)&gt;0,N.D.,SUM(BV204:BV205))</f>
        <v>N.D.</v>
      </c>
      <c r="BW207" s="743"/>
      <c r="BX207" s="743"/>
      <c r="BY207" s="743"/>
      <c r="BZ207" s="388"/>
      <c r="CA207" s="4"/>
      <c r="CB207" s="4"/>
      <c r="CC207" s="4"/>
      <c r="CD207" s="4"/>
      <c r="CE207" s="354"/>
    </row>
    <row r="208" spans="1:310" ht="15" customHeight="1" thickBot="1" x14ac:dyDescent="0.3">
      <c r="F208" s="342"/>
      <c r="I208" s="768" t="str">
        <f>IF(OR(Q207=N.D.,W207=N.D.),N.D.,"")</f>
        <v>N.D.</v>
      </c>
      <c r="J208" s="768"/>
      <c r="K208" s="758" t="str">
        <f>IF(I208=N.D.,txt_N.D.&amp;I5&amp;" ou "&amp;I22&amp;" ou "&amp;J53,"")</f>
        <v>Non disponible : vérifiez les données à la question 2.1. ou 2.2. ou 2.3.1.</v>
      </c>
      <c r="L208" s="758"/>
      <c r="M208" s="758"/>
      <c r="N208" s="758"/>
      <c r="O208" s="758"/>
      <c r="P208" s="758"/>
      <c r="Q208" s="758"/>
      <c r="R208" s="758"/>
      <c r="S208" s="758"/>
      <c r="T208" s="758"/>
      <c r="U208" s="758"/>
      <c r="V208" s="758"/>
      <c r="W208" s="758"/>
      <c r="X208" s="758"/>
      <c r="Y208" s="758"/>
      <c r="Z208" s="758"/>
      <c r="AA208" s="758"/>
      <c r="AB208" s="758"/>
      <c r="AC208" s="758"/>
      <c r="AD208" s="758"/>
      <c r="AH208" s="94" t="str">
        <f>IF((COUNTIF(AP198:AP202,"")+(COUNTIF(AU198:AU202,"")))=0,"plein","vide")</f>
        <v>vide</v>
      </c>
      <c r="BF208" s="342"/>
      <c r="BH208" s="58"/>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5"/>
    </row>
    <row r="209" spans="1:313" ht="15" customHeight="1" thickBot="1" x14ac:dyDescent="0.3">
      <c r="F209" s="342"/>
      <c r="AG209" s="767" t="str">
        <f>txt_aide</f>
        <v>Aide à la validation des données :</v>
      </c>
      <c r="AH209" s="767"/>
      <c r="AI209" s="767"/>
      <c r="AJ209" s="767"/>
      <c r="AK209" s="767"/>
      <c r="AL209" s="767"/>
      <c r="AM209" s="767"/>
      <c r="AN209" s="767"/>
      <c r="AO209" s="767"/>
      <c r="AP209" s="767"/>
      <c r="AQ209" s="767"/>
      <c r="AR209" s="31"/>
      <c r="AS209" s="31"/>
      <c r="AT209" s="97"/>
      <c r="AU209" s="31"/>
      <c r="AV209" s="764" t="str">
        <f>IF(OR(W207=N.D.,AV207="",AV207=N.D.),N.D.,IF(AND(W207=0,AV207=0),0,IF(OR(W207=0,AV207=0),N.A.,IF(AV207&lt;W207,ABS((W207-AV207)/AV207),ABS((AV207-W207)/W207)))))</f>
        <v>N.D.</v>
      </c>
      <c r="AW209" s="764"/>
      <c r="AX209" s="764"/>
      <c r="AY209" s="764"/>
      <c r="BF209" s="342"/>
      <c r="BO209" s="106"/>
      <c r="BP209" s="107"/>
      <c r="BQ209" s="107"/>
      <c r="BR209" s="107"/>
      <c r="BS209" s="107"/>
      <c r="BT209" s="107"/>
      <c r="BU209" s="107"/>
      <c r="BV209" s="107"/>
      <c r="BW209" s="107"/>
      <c r="BX209" s="107"/>
      <c r="BY209" s="108"/>
      <c r="CB209" s="106"/>
      <c r="CC209" s="107"/>
      <c r="CD209" s="107"/>
      <c r="CE209" s="107"/>
      <c r="CF209" s="107"/>
      <c r="CG209" s="107"/>
      <c r="CH209" s="107"/>
      <c r="CI209" s="107"/>
      <c r="CJ209" s="107"/>
      <c r="CK209" s="107"/>
      <c r="CL209" s="107"/>
      <c r="CM209" s="319"/>
      <c r="CN209" s="107"/>
      <c r="CO209" s="107"/>
      <c r="CP209" s="107"/>
      <c r="CQ209" s="107"/>
      <c r="CR209" s="107"/>
      <c r="CS209" s="320"/>
      <c r="CX209" s="113"/>
    </row>
    <row r="210" spans="1:313" ht="15" customHeight="1" x14ac:dyDescent="0.25">
      <c r="F210" s="342"/>
      <c r="AH210" s="115" t="str">
        <f>IF(res_utiliser_rejets&lt;&gt;menu_outil,IF((COUNTIF(AV209,N.D.)+(COUNTIF(AV209,N.D.)))=0,"",N.D.),"")</f>
        <v>N.D.</v>
      </c>
      <c r="AI210" s="16" t="str">
        <f>puce1</f>
        <v>Ä</v>
      </c>
      <c r="AJ210" s="735" t="str">
        <f>IF(res_utiliser_rejets=menu_outil,txt_validation,IF(I208=N.D.,IF(AV209=N.D.,K208,""),IF(AH210=N.D.,txt_N.D.&amp;AI201,"")))</f>
        <v>Non disponible : vérifiez les données à la question 2.1. ou 2.2. ou 2.3.1.</v>
      </c>
      <c r="AK210" s="735"/>
      <c r="AL210" s="735"/>
      <c r="AM210" s="735"/>
      <c r="AN210" s="735"/>
      <c r="AO210" s="735"/>
      <c r="AP210" s="735"/>
      <c r="AQ210" s="735"/>
      <c r="AR210" s="735"/>
      <c r="AS210" s="735"/>
      <c r="AT210" s="735"/>
      <c r="AU210" s="735"/>
      <c r="AV210" s="735"/>
      <c r="AW210" s="735"/>
      <c r="AX210" s="735"/>
      <c r="AY210" s="735"/>
      <c r="AZ210" s="758"/>
      <c r="BA210" s="758"/>
      <c r="BB210" s="758"/>
      <c r="BC210" s="758"/>
      <c r="BF210" s="342"/>
      <c r="BH210" s="56"/>
      <c r="BI210" s="23"/>
      <c r="BJ210" s="23"/>
      <c r="BK210" s="23"/>
      <c r="BL210" s="23"/>
      <c r="BM210" s="23"/>
      <c r="BN210" s="23"/>
      <c r="BO210" s="57"/>
      <c r="BP210" s="699" t="s">
        <v>590</v>
      </c>
      <c r="BQ210" s="699"/>
      <c r="BR210" s="699"/>
      <c r="BS210" s="699"/>
      <c r="BT210" s="699"/>
      <c r="BU210" s="699"/>
      <c r="BV210" s="699"/>
      <c r="BW210" s="699"/>
      <c r="BX210" s="699"/>
      <c r="BY210" s="27"/>
      <c r="CB210" s="57"/>
      <c r="CC210" s="699" t="s">
        <v>646</v>
      </c>
      <c r="CD210" s="699"/>
      <c r="CE210" s="699"/>
      <c r="CF210" s="699"/>
      <c r="CG210" s="699"/>
      <c r="CH210" s="699"/>
      <c r="CI210" s="699"/>
      <c r="CJ210" s="699"/>
      <c r="CK210" s="699"/>
      <c r="CM210" s="25"/>
      <c r="CN210" s="738" t="s">
        <v>20</v>
      </c>
      <c r="CO210" s="738"/>
      <c r="CP210" s="738"/>
      <c r="CQ210" s="738"/>
      <c r="CR210" s="738"/>
      <c r="CS210" s="20"/>
    </row>
    <row r="211" spans="1:313" ht="15" customHeight="1" x14ac:dyDescent="0.25">
      <c r="F211" s="342"/>
      <c r="AH211" s="117" t="str">
        <f>IF(res_utiliser_rejets&lt;&gt;menu_outil,IF((COUNTIF(AV209,N.A.)+(COUNTIF(AV209,N.A.)))=0,"",N.A.),"")</f>
        <v/>
      </c>
      <c r="AI211" s="87"/>
      <c r="AJ211" s="766" t="str">
        <f>IF(AH211=N.A.,txt_N.A.,"")</f>
        <v/>
      </c>
      <c r="AK211" s="766"/>
      <c r="AL211" s="766"/>
      <c r="AM211" s="766"/>
      <c r="AN211" s="766"/>
      <c r="AO211" s="766"/>
      <c r="AP211" s="766"/>
      <c r="AQ211" s="766"/>
      <c r="AR211" s="766"/>
      <c r="AS211" s="766"/>
      <c r="AT211" s="766"/>
      <c r="AU211" s="766"/>
      <c r="AV211" s="766"/>
      <c r="AW211" s="766"/>
      <c r="AX211" s="766"/>
      <c r="AY211" s="766"/>
      <c r="AZ211" s="766"/>
      <c r="BA211" s="766"/>
      <c r="BB211" s="766"/>
      <c r="BC211" s="766"/>
      <c r="BF211" s="342"/>
      <c r="BH211" s="57"/>
      <c r="BI211" s="738" t="str">
        <f>Paramètres!$H$11*100&amp;" % éliminé"</f>
        <v>0,82 % éliminé</v>
      </c>
      <c r="BJ211" s="738"/>
      <c r="BK211" s="738"/>
      <c r="BL211" s="738"/>
      <c r="BM211" s="738"/>
      <c r="BO211" s="57"/>
      <c r="BP211" s="747" t="s">
        <v>18</v>
      </c>
      <c r="BQ211" s="747"/>
      <c r="BR211" s="747"/>
      <c r="BS211" s="747"/>
      <c r="BT211" s="747"/>
      <c r="BU211" s="702" t="str">
        <f>BV42</f>
        <v>N.D.</v>
      </c>
      <c r="BV211" s="702"/>
      <c r="BW211" s="702"/>
      <c r="BX211" s="702"/>
      <c r="BY211" s="27"/>
      <c r="CB211" s="57"/>
      <c r="CC211" s="747" t="s">
        <v>18</v>
      </c>
      <c r="CD211" s="747"/>
      <c r="CE211" s="747"/>
      <c r="CF211" s="747"/>
      <c r="CG211" s="747"/>
      <c r="CH211" s="702" t="str">
        <f>V42</f>
        <v>N.D.</v>
      </c>
      <c r="CI211" s="702"/>
      <c r="CJ211" s="702"/>
      <c r="CK211" s="702"/>
      <c r="CM211" s="57"/>
      <c r="CN211" s="738" t="str">
        <f>Paramètres!$H$11*100&amp;" % éliminé"</f>
        <v>0,82 % éliminé</v>
      </c>
      <c r="CO211" s="738"/>
      <c r="CP211" s="738"/>
      <c r="CQ211" s="738"/>
      <c r="CR211" s="738"/>
      <c r="CS211" s="27"/>
    </row>
    <row r="212" spans="1:313" ht="15" customHeight="1" thickBot="1" x14ac:dyDescent="0.3">
      <c r="F212" s="342"/>
      <c r="AJ212" s="766"/>
      <c r="AK212" s="766"/>
      <c r="AL212" s="766"/>
      <c r="AM212" s="766"/>
      <c r="AN212" s="766"/>
      <c r="AO212" s="766"/>
      <c r="AP212" s="766"/>
      <c r="AQ212" s="766"/>
      <c r="AR212" s="766"/>
      <c r="AS212" s="766"/>
      <c r="AT212" s="766"/>
      <c r="AU212" s="766"/>
      <c r="AV212" s="766"/>
      <c r="AW212" s="766"/>
      <c r="AX212" s="766"/>
      <c r="AY212" s="766"/>
      <c r="AZ212" s="766"/>
      <c r="BA212" s="766"/>
      <c r="BB212" s="766"/>
      <c r="BC212" s="766"/>
      <c r="BF212" s="342"/>
      <c r="BH212" s="57"/>
      <c r="BO212" s="57"/>
      <c r="BP212" s="747" t="s">
        <v>492</v>
      </c>
      <c r="BQ212" s="747"/>
      <c r="BR212" s="747"/>
      <c r="BS212" s="747"/>
      <c r="BT212" s="747"/>
      <c r="BU212" s="702" t="str">
        <f>BV70</f>
        <v>N.D.</v>
      </c>
      <c r="BV212" s="702"/>
      <c r="BW212" s="702"/>
      <c r="BX212" s="702"/>
      <c r="BY212" s="27"/>
      <c r="CB212" s="57"/>
      <c r="CC212" s="747" t="s">
        <v>492</v>
      </c>
      <c r="CD212" s="747"/>
      <c r="CE212" s="747"/>
      <c r="CF212" s="747"/>
      <c r="CG212" s="747"/>
      <c r="CH212" s="702" t="str">
        <f>BV70</f>
        <v>N.D.</v>
      </c>
      <c r="CI212" s="702"/>
      <c r="CJ212" s="702"/>
      <c r="CK212" s="702"/>
      <c r="CM212" s="57"/>
      <c r="CS212" s="27"/>
    </row>
    <row r="213" spans="1:313" ht="15" customHeight="1" thickBot="1" x14ac:dyDescent="0.3">
      <c r="C213" s="73" t="str">
        <f>$C$189&amp;".2"</f>
        <v>7.2</v>
      </c>
      <c r="D213" s="73"/>
      <c r="E213" s="21"/>
      <c r="F213" s="342"/>
      <c r="G213" s="19"/>
      <c r="H213" s="19"/>
      <c r="I213" s="19"/>
      <c r="J213" s="77" t="str">
        <f>CONCATENATE($B$2,".",$C213,".")</f>
        <v>2.7.2.</v>
      </c>
      <c r="K213" s="756" t="s">
        <v>773</v>
      </c>
      <c r="L213" s="757"/>
      <c r="M213" s="757"/>
      <c r="N213" s="757"/>
      <c r="O213" s="757"/>
      <c r="P213" s="757"/>
      <c r="Q213" s="757"/>
      <c r="R213" s="757"/>
      <c r="S213" s="757"/>
      <c r="T213" s="757"/>
      <c r="U213" s="757"/>
      <c r="V213" s="757"/>
      <c r="W213" s="757"/>
      <c r="X213" s="757"/>
      <c r="Y213" s="757"/>
      <c r="Z213" s="757"/>
      <c r="AA213" s="757"/>
      <c r="AM213" s="681" t="s">
        <v>772</v>
      </c>
      <c r="AN213" s="682"/>
      <c r="AO213" s="682"/>
      <c r="AP213" s="682"/>
      <c r="AQ213" s="682"/>
      <c r="AR213" s="682"/>
      <c r="AS213" s="682"/>
      <c r="AT213" s="682"/>
      <c r="AU213" s="682"/>
      <c r="AV213" s="682"/>
      <c r="AW213" s="682"/>
      <c r="AX213" s="682"/>
      <c r="AY213" s="682"/>
      <c r="AZ213" s="682"/>
      <c r="BA213" s="682"/>
      <c r="BB213" s="682"/>
      <c r="BC213" s="682"/>
      <c r="BD213" s="682"/>
      <c r="BE213" s="683"/>
      <c r="BF213" s="342"/>
      <c r="BH213" s="57"/>
      <c r="BI213" s="739" t="str">
        <f>IF(COUNTIF(BU211:BU214,N.D.)&gt;0,N.D.,SUM(BU211:BU214)*Paramètres!$H$11)</f>
        <v>N.D.</v>
      </c>
      <c r="BJ213" s="740"/>
      <c r="BK213" s="740"/>
      <c r="BL213" s="740"/>
      <c r="BM213" s="740"/>
      <c r="BO213" s="57"/>
      <c r="BP213" s="747" t="s">
        <v>391</v>
      </c>
      <c r="BQ213" s="747"/>
      <c r="BR213" s="747"/>
      <c r="BS213" s="747"/>
      <c r="BT213" s="747"/>
      <c r="BU213" s="702" t="str">
        <f>BV180</f>
        <v>N.D.</v>
      </c>
      <c r="BV213" s="702"/>
      <c r="BW213" s="702"/>
      <c r="BX213" s="702"/>
      <c r="BY213" s="27"/>
      <c r="CB213" s="57"/>
      <c r="CC213" s="747" t="s">
        <v>391</v>
      </c>
      <c r="CD213" s="747"/>
      <c r="CE213" s="747"/>
      <c r="CF213" s="747"/>
      <c r="CG213" s="747"/>
      <c r="CH213" s="702" t="str">
        <f>V180</f>
        <v>N.D.</v>
      </c>
      <c r="CI213" s="702"/>
      <c r="CJ213" s="702"/>
      <c r="CK213" s="702"/>
      <c r="CM213" s="57"/>
      <c r="CN213" s="739" t="str">
        <f>IF(COUNTIF(CH211:CH214,N.D.)&gt;0,N.D.,SUM(CH211:CH214)*Paramètres!$H$11)</f>
        <v>N.D.</v>
      </c>
      <c r="CO213" s="740"/>
      <c r="CP213" s="740"/>
      <c r="CQ213" s="740"/>
      <c r="CR213" s="740"/>
      <c r="CS213" s="27"/>
    </row>
    <row r="214" spans="1:313" ht="15" customHeight="1" thickBot="1" x14ac:dyDescent="0.3">
      <c r="F214" s="342"/>
      <c r="AM214" s="684"/>
      <c r="AN214" s="685"/>
      <c r="AO214" s="685"/>
      <c r="AP214" s="685"/>
      <c r="AQ214" s="685"/>
      <c r="AR214" s="685"/>
      <c r="AS214" s="685"/>
      <c r="AT214" s="685"/>
      <c r="AU214" s="685"/>
      <c r="AV214" s="685"/>
      <c r="AW214" s="685"/>
      <c r="AX214" s="685"/>
      <c r="AY214" s="685"/>
      <c r="AZ214" s="685"/>
      <c r="BA214" s="685"/>
      <c r="BB214" s="685"/>
      <c r="BC214" s="685"/>
      <c r="BD214" s="685"/>
      <c r="BE214" s="686"/>
      <c r="BF214" s="342"/>
      <c r="BH214" s="58"/>
      <c r="BI214" s="34"/>
      <c r="BJ214" s="34"/>
      <c r="BK214" s="34"/>
      <c r="BL214" s="34"/>
      <c r="BM214" s="34"/>
      <c r="BN214" s="34"/>
      <c r="BO214" s="57"/>
      <c r="BP214" s="747" t="s">
        <v>601</v>
      </c>
      <c r="BQ214" s="747"/>
      <c r="BR214" s="747"/>
      <c r="BS214" s="747"/>
      <c r="BT214" s="747"/>
      <c r="BU214" s="702" t="str">
        <f>BV225</f>
        <v>N.D.</v>
      </c>
      <c r="BV214" s="702"/>
      <c r="BW214" s="702"/>
      <c r="BX214" s="702"/>
      <c r="BY214" s="27"/>
      <c r="CB214" s="57"/>
      <c r="CC214" s="747" t="s">
        <v>601</v>
      </c>
      <c r="CD214" s="747"/>
      <c r="CE214" s="747"/>
      <c r="CF214" s="747"/>
      <c r="CG214" s="747"/>
      <c r="CH214" s="702" t="str">
        <f>V226</f>
        <v>N.D.</v>
      </c>
      <c r="CI214" s="702"/>
      <c r="CJ214" s="702"/>
      <c r="CK214" s="702"/>
      <c r="CM214" s="321"/>
      <c r="CN214" s="322"/>
      <c r="CO214" s="322"/>
      <c r="CP214" s="322"/>
      <c r="CQ214" s="322"/>
      <c r="CR214" s="322"/>
      <c r="CS214" s="323"/>
      <c r="KB214" s="497"/>
      <c r="KC214" s="498"/>
      <c r="KD214" s="498"/>
      <c r="KE214" s="498"/>
      <c r="KF214" s="498"/>
      <c r="KG214" s="498"/>
      <c r="KH214" s="498"/>
      <c r="KI214" s="498"/>
      <c r="KJ214" s="498"/>
      <c r="KK214" s="498"/>
      <c r="KL214" s="498"/>
      <c r="KM214" s="498"/>
      <c r="KN214" s="499"/>
      <c r="KO214" s="497"/>
      <c r="KP214" s="498"/>
      <c r="KQ214" s="498"/>
      <c r="KR214" s="498"/>
      <c r="KS214" s="498"/>
      <c r="KT214" s="498"/>
      <c r="KU214" s="498"/>
      <c r="KV214" s="498"/>
      <c r="KW214" s="498"/>
      <c r="KX214" s="498"/>
      <c r="KY214" s="498"/>
      <c r="KZ214" s="499"/>
    </row>
    <row r="215" spans="1:313" ht="15" customHeight="1" thickBot="1" x14ac:dyDescent="0.3">
      <c r="A215" s="5" t="s">
        <v>576</v>
      </c>
      <c r="C215" s="73">
        <v>1</v>
      </c>
      <c r="D215" s="73"/>
      <c r="E215" s="21"/>
      <c r="F215" s="342"/>
      <c r="G215" s="19"/>
      <c r="H215" s="19"/>
      <c r="I215" s="19"/>
      <c r="K215" s="350" t="str">
        <f>CONCATENATE($J$213,$C215,".")</f>
        <v>2.7.2.1.</v>
      </c>
      <c r="L215" s="728" t="str">
        <f>question_outil_utilisateur</f>
        <v>Quelles données souhaitez-vous utiliser dans les résultats ?</v>
      </c>
      <c r="M215" s="728"/>
      <c r="N215" s="728"/>
      <c r="O215" s="728"/>
      <c r="P215" s="728"/>
      <c r="Q215" s="728"/>
      <c r="R215" s="728"/>
      <c r="S215" s="728"/>
      <c r="T215" s="728"/>
      <c r="U215" s="728"/>
      <c r="V215" s="728"/>
      <c r="W215" s="728"/>
      <c r="X215" s="728"/>
      <c r="Y215" s="728"/>
      <c r="Z215" s="728"/>
      <c r="AA215" s="728"/>
      <c r="AB215" s="728"/>
      <c r="AC215" s="759"/>
      <c r="AD215" s="759"/>
      <c r="AE215" s="759"/>
      <c r="AF215" s="759"/>
      <c r="AG215" s="759"/>
      <c r="AH215" s="759"/>
      <c r="AI215" s="759"/>
      <c r="AJ215" s="759"/>
      <c r="AK215" s="759"/>
      <c r="AL215" s="142"/>
      <c r="AM215" s="684"/>
      <c r="AN215" s="685"/>
      <c r="AO215" s="685"/>
      <c r="AP215" s="685"/>
      <c r="AQ215" s="685"/>
      <c r="AR215" s="685"/>
      <c r="AS215" s="685"/>
      <c r="AT215" s="685"/>
      <c r="AU215" s="685"/>
      <c r="AV215" s="685"/>
      <c r="AW215" s="685"/>
      <c r="AX215" s="685"/>
      <c r="AY215" s="685"/>
      <c r="AZ215" s="685"/>
      <c r="BA215" s="685"/>
      <c r="BB215" s="685"/>
      <c r="BC215" s="685"/>
      <c r="BD215" s="685"/>
      <c r="BE215" s="686"/>
      <c r="BF215" s="342"/>
      <c r="BO215" s="58"/>
      <c r="BP215" s="34"/>
      <c r="BQ215" s="34"/>
      <c r="BR215" s="34"/>
      <c r="BS215" s="34"/>
      <c r="BT215" s="34"/>
      <c r="BU215" s="34"/>
      <c r="BV215" s="34"/>
      <c r="BW215" s="34"/>
      <c r="BX215" s="34"/>
      <c r="BY215" s="35"/>
      <c r="CB215" s="58"/>
      <c r="CC215" s="34"/>
      <c r="CD215" s="34"/>
      <c r="CE215" s="34"/>
      <c r="CF215" s="34"/>
      <c r="CG215" s="34"/>
      <c r="CH215" s="34"/>
      <c r="CI215" s="34"/>
      <c r="CJ215" s="34"/>
      <c r="CK215" s="34"/>
      <c r="CL215" s="35"/>
      <c r="KB215" s="500" t="s">
        <v>712</v>
      </c>
      <c r="KC215" s="508" t="s">
        <v>706</v>
      </c>
      <c r="KN215" s="501"/>
      <c r="KO215" s="500"/>
      <c r="KZ215" s="501"/>
    </row>
    <row r="216" spans="1:313" ht="21" customHeight="1" thickBot="1" x14ac:dyDescent="0.3">
      <c r="C216" s="73"/>
      <c r="D216" s="73"/>
      <c r="E216" s="21"/>
      <c r="F216" s="342"/>
      <c r="G216" s="19"/>
      <c r="H216" s="19"/>
      <c r="I216" s="19"/>
      <c r="J216" s="19"/>
      <c r="K216" s="19"/>
      <c r="L216" s="19"/>
      <c r="M216" s="19"/>
      <c r="N216" s="19"/>
      <c r="O216" s="19"/>
      <c r="P216" s="19"/>
      <c r="Q216" s="19"/>
      <c r="R216" s="19"/>
      <c r="S216" s="19"/>
      <c r="T216" s="19"/>
      <c r="U216" s="19"/>
      <c r="V216" s="19"/>
      <c r="W216" s="19"/>
      <c r="X216" s="19"/>
      <c r="Y216" s="21"/>
      <c r="Z216" s="19"/>
      <c r="AA216" s="19"/>
      <c r="AB216" s="19"/>
      <c r="AC216" s="19"/>
      <c r="AD216" s="19"/>
      <c r="AE216" s="19"/>
      <c r="AF216" s="19"/>
      <c r="AG216" s="19"/>
      <c r="AH216" s="19"/>
      <c r="AI216" s="19"/>
      <c r="AJ216" s="19"/>
      <c r="AK216" s="19"/>
      <c r="AL216" s="19"/>
      <c r="AM216" s="687"/>
      <c r="AN216" s="688"/>
      <c r="AO216" s="688"/>
      <c r="AP216" s="688"/>
      <c r="AQ216" s="688"/>
      <c r="AR216" s="688"/>
      <c r="AS216" s="688"/>
      <c r="AT216" s="688"/>
      <c r="AU216" s="688"/>
      <c r="AV216" s="688"/>
      <c r="AW216" s="688"/>
      <c r="AX216" s="688"/>
      <c r="AY216" s="688"/>
      <c r="AZ216" s="688"/>
      <c r="BA216" s="688"/>
      <c r="BB216" s="688"/>
      <c r="BC216" s="688"/>
      <c r="BD216" s="688"/>
      <c r="BE216" s="689"/>
      <c r="BF216" s="342"/>
      <c r="KB216" s="500"/>
      <c r="KE216" s="280"/>
      <c r="KF216" s="280"/>
      <c r="KG216" s="280"/>
      <c r="KH216" s="721" t="s">
        <v>286</v>
      </c>
      <c r="KI216" s="721"/>
      <c r="KJ216" s="721"/>
      <c r="KK216" s="721"/>
      <c r="KN216" s="501"/>
      <c r="KO216" s="500"/>
      <c r="KZ216" s="501"/>
    </row>
    <row r="217" spans="1:313" ht="15" customHeight="1" x14ac:dyDescent="0.25">
      <c r="C217" s="73"/>
      <c r="D217" s="73"/>
      <c r="E217" s="21"/>
      <c r="F217" s="342"/>
      <c r="G217" s="19"/>
      <c r="H217" s="19"/>
      <c r="BF217" s="342"/>
      <c r="BH217" s="106"/>
      <c r="BI217" s="737"/>
      <c r="BJ217" s="737"/>
      <c r="BK217" s="737"/>
      <c r="BL217" s="737"/>
      <c r="BM217" s="737"/>
      <c r="BN217" s="737"/>
      <c r="BO217" s="737"/>
      <c r="BP217" s="737"/>
      <c r="BQ217" s="737"/>
      <c r="BR217" s="737"/>
      <c r="BS217" s="737"/>
      <c r="BT217" s="737"/>
      <c r="BU217" s="737"/>
      <c r="BV217" s="737"/>
      <c r="BW217" s="737"/>
      <c r="BX217" s="737"/>
      <c r="BY217" s="737"/>
      <c r="BZ217" s="737"/>
      <c r="CA217" s="737"/>
      <c r="CB217" s="737"/>
      <c r="CC217" s="737"/>
      <c r="CD217" s="737"/>
      <c r="CE217" s="108"/>
      <c r="KB217" s="500"/>
      <c r="KC217" s="507" t="s">
        <v>702</v>
      </c>
      <c r="KD217" s="507"/>
      <c r="KH217" s="722"/>
      <c r="KI217" s="722"/>
      <c r="KJ217" s="722"/>
      <c r="KK217" s="722"/>
      <c r="KN217" s="501"/>
      <c r="KO217" s="500"/>
      <c r="KZ217" s="501"/>
    </row>
    <row r="218" spans="1:313" s="19" customFormat="1" ht="15" customHeight="1" x14ac:dyDescent="0.25">
      <c r="C218" s="73">
        <v>2</v>
      </c>
      <c r="D218" s="73">
        <v>3</v>
      </c>
      <c r="E218" s="21"/>
      <c r="F218" s="342"/>
      <c r="J218" s="77"/>
      <c r="K218" s="350" t="str">
        <f>CONCATENATE($J$213,$C218,".")</f>
        <v>2.7.2.2.</v>
      </c>
      <c r="L218" s="728" t="str">
        <f>txt_outil&amp;IF(res_utiliser_autres=menu_utilisateur,donnees_infos,donnees_calculs)</f>
        <v>Données suggérées par l'outil - UTILISÉES DANS LES RÉSULTATS</v>
      </c>
      <c r="M218" s="728"/>
      <c r="N218" s="728"/>
      <c r="O218" s="728"/>
      <c r="P218" s="728"/>
      <c r="Q218" s="728"/>
      <c r="R218" s="728"/>
      <c r="S218" s="728"/>
      <c r="T218" s="728"/>
      <c r="U218" s="728"/>
      <c r="V218" s="728"/>
      <c r="W218" s="728"/>
      <c r="X218" s="728"/>
      <c r="Y218" s="728"/>
      <c r="Z218" s="728"/>
      <c r="AA218" s="728"/>
      <c r="AB218" s="728"/>
      <c r="AC218" s="728"/>
      <c r="AD218" s="728"/>
      <c r="AE218" s="728"/>
      <c r="AI218" s="350" t="str">
        <f>CONCATENATE($J$213,$D218,".")</f>
        <v>2.7.2.3.</v>
      </c>
      <c r="AJ218" s="728" t="str">
        <f>txt_utilisateur&amp;IF(res_utiliser_autres=menu_utilisateur,donnees_calculs,donnees_infos)</f>
        <v xml:space="preserve">Données saisies par l'utilisateur (fournies à titre indicatif seulement) </v>
      </c>
      <c r="AK218" s="728"/>
      <c r="AL218" s="728"/>
      <c r="AM218" s="728"/>
      <c r="AN218" s="728"/>
      <c r="AO218" s="728"/>
      <c r="AP218" s="728"/>
      <c r="AQ218" s="728"/>
      <c r="AR218" s="728"/>
      <c r="AS218" s="728"/>
      <c r="AT218" s="728"/>
      <c r="AU218" s="728"/>
      <c r="AV218" s="728"/>
      <c r="AW218" s="728"/>
      <c r="AX218" s="728"/>
      <c r="AY218" s="728"/>
      <c r="AZ218" s="728"/>
      <c r="BA218" s="728"/>
      <c r="BB218" s="728"/>
      <c r="BC218" s="728"/>
      <c r="BF218" s="342"/>
      <c r="BH218" s="363"/>
      <c r="BI218" s="710" t="s">
        <v>488</v>
      </c>
      <c r="BJ218" s="710"/>
      <c r="BK218" s="710"/>
      <c r="BL218" s="710"/>
      <c r="BM218" s="710"/>
      <c r="BN218" s="710"/>
      <c r="BO218" s="710"/>
      <c r="BP218" s="710"/>
      <c r="BQ218" s="710"/>
      <c r="BR218" s="710"/>
      <c r="BS218" s="710"/>
      <c r="BT218" s="710"/>
      <c r="BU218" s="710"/>
      <c r="BV218" s="710"/>
      <c r="BW218" s="710"/>
      <c r="BX218" s="710"/>
      <c r="BY218" s="710"/>
      <c r="BZ218" s="710"/>
      <c r="CA218" s="710"/>
      <c r="CB218" s="710"/>
      <c r="CC218" s="710"/>
      <c r="CD218" s="710"/>
      <c r="CE218" s="364"/>
      <c r="KB218" s="500"/>
      <c r="KC218" s="5"/>
      <c r="KD218" s="5"/>
      <c r="KE218" s="5"/>
      <c r="KF218" s="5"/>
      <c r="KG218" s="5"/>
      <c r="KH218" s="5"/>
      <c r="KI218" s="5"/>
      <c r="KJ218" s="5"/>
      <c r="KK218" s="5"/>
      <c r="KL218" s="5"/>
      <c r="KM218" s="5"/>
      <c r="KN218" s="501"/>
      <c r="KO218" s="500"/>
      <c r="KP218" s="5"/>
      <c r="KQ218" s="5"/>
      <c r="KR218" s="5"/>
      <c r="KS218" s="5"/>
      <c r="KT218" s="5"/>
      <c r="KU218" s="5"/>
      <c r="KV218" s="5"/>
      <c r="KW218" s="5"/>
      <c r="KX218" s="5"/>
      <c r="KY218" s="5"/>
      <c r="KZ218" s="501"/>
      <c r="LA218" s="5"/>
    </row>
    <row r="219" spans="1:313" ht="15" customHeight="1" x14ac:dyDescent="0.25">
      <c r="C219" s="72"/>
      <c r="D219" s="72"/>
      <c r="E219" s="36"/>
      <c r="F219" s="342"/>
      <c r="I219" s="19"/>
      <c r="J219" s="77"/>
      <c r="K219" s="22"/>
      <c r="L219" s="19"/>
      <c r="M219" s="19"/>
      <c r="N219" s="19"/>
      <c r="O219" s="19"/>
      <c r="P219" s="19"/>
      <c r="Q219" s="19"/>
      <c r="R219" s="19"/>
      <c r="S219" s="19"/>
      <c r="T219" s="19"/>
      <c r="U219" s="19"/>
      <c r="V219" s="19"/>
      <c r="W219" s="19"/>
      <c r="X219" s="194"/>
      <c r="Y219" s="194"/>
      <c r="Z219" s="194"/>
      <c r="AA219" s="19"/>
      <c r="AB219" s="19"/>
      <c r="AC219" s="19"/>
      <c r="AD219" s="19"/>
      <c r="AE219" s="19"/>
      <c r="AF219" s="19"/>
      <c r="AG219" s="19"/>
      <c r="AH219" s="19"/>
      <c r="AI219" s="77"/>
      <c r="AJ219" s="22"/>
      <c r="AK219" s="19"/>
      <c r="AL219" s="19"/>
      <c r="AM219" s="19"/>
      <c r="AN219" s="61"/>
      <c r="AO219" s="19"/>
      <c r="AP219" s="61"/>
      <c r="AQ219" s="19"/>
      <c r="AR219" s="19"/>
      <c r="AS219" s="19"/>
      <c r="AT219" s="19"/>
      <c r="AU219" s="19"/>
      <c r="AV219" s="19"/>
      <c r="AW219" s="19"/>
      <c r="AX219" s="19"/>
      <c r="AY219" s="61"/>
      <c r="AZ219" s="19"/>
      <c r="BA219" s="19"/>
      <c r="BB219" s="19"/>
      <c r="BC219" s="19"/>
      <c r="BF219" s="342"/>
      <c r="BH219" s="353"/>
      <c r="BI219" s="348"/>
      <c r="BJ219" s="348"/>
      <c r="BK219" s="348"/>
      <c r="BL219" s="348"/>
      <c r="BM219" s="348"/>
      <c r="BN219" s="348"/>
      <c r="BO219" s="348"/>
      <c r="BP219" s="348"/>
      <c r="BQ219" s="715" t="str">
        <f>Q220</f>
        <v>Récupéré (t)</v>
      </c>
      <c r="BR219" s="715"/>
      <c r="BS219" s="715"/>
      <c r="BT219" s="715"/>
      <c r="BU219" s="4"/>
      <c r="BV219" s="715" t="str">
        <f>V220</f>
        <v>Éliminé (t)</v>
      </c>
      <c r="BW219" s="715"/>
      <c r="BX219" s="715"/>
      <c r="BY219" s="715"/>
      <c r="BZ219" s="19"/>
      <c r="CA219" s="715" t="str">
        <f>AA220</f>
        <v>Généré (t)</v>
      </c>
      <c r="CB219" s="715"/>
      <c r="CC219" s="715"/>
      <c r="CD219" s="715"/>
      <c r="CE219" s="354"/>
      <c r="KB219" s="500"/>
      <c r="KC219" s="280" t="s">
        <v>695</v>
      </c>
      <c r="KN219" s="501"/>
      <c r="KO219" s="500"/>
      <c r="KQ219" s="721" t="s">
        <v>699</v>
      </c>
      <c r="KR219" s="721"/>
      <c r="KS219" s="721"/>
      <c r="KT219" s="721"/>
      <c r="KU219" s="721"/>
      <c r="KV219" s="721"/>
      <c r="KW219" s="721"/>
      <c r="KX219" s="721"/>
      <c r="KY219" s="721"/>
      <c r="KZ219" s="501"/>
    </row>
    <row r="220" spans="1:313" ht="15" customHeight="1" x14ac:dyDescent="0.25">
      <c r="C220" s="72"/>
      <c r="D220" s="72"/>
      <c r="E220" s="36"/>
      <c r="F220" s="342"/>
      <c r="I220" s="26"/>
      <c r="Q220" s="710" t="s">
        <v>610</v>
      </c>
      <c r="R220" s="715"/>
      <c r="S220" s="715"/>
      <c r="T220" s="715"/>
      <c r="V220" s="710" t="s">
        <v>611</v>
      </c>
      <c r="W220" s="715"/>
      <c r="X220" s="715"/>
      <c r="Y220" s="715"/>
      <c r="AA220" s="710" t="s">
        <v>612</v>
      </c>
      <c r="AB220" s="715"/>
      <c r="AC220" s="715"/>
      <c r="AD220" s="715"/>
      <c r="AH220" s="26"/>
      <c r="AP220" s="715" t="str">
        <f>Q220</f>
        <v>Récupéré (t)</v>
      </c>
      <c r="AQ220" s="715"/>
      <c r="AR220" s="715"/>
      <c r="AS220" s="715"/>
      <c r="AT220" s="4"/>
      <c r="AU220" s="715" t="str">
        <f>V220</f>
        <v>Éliminé (t)</v>
      </c>
      <c r="AV220" s="715"/>
      <c r="AW220" s="715"/>
      <c r="AX220" s="715"/>
      <c r="AY220" s="19"/>
      <c r="AZ220" s="715" t="str">
        <f>AA220</f>
        <v>Généré (t)</v>
      </c>
      <c r="BA220" s="715"/>
      <c r="BB220" s="715"/>
      <c r="BC220" s="715"/>
      <c r="BF220" s="342"/>
      <c r="BH220" s="353"/>
      <c r="BI220" s="701" t="str">
        <f>I221</f>
        <v>RDD</v>
      </c>
      <c r="BJ220" s="701"/>
      <c r="BK220" s="701"/>
      <c r="BL220" s="701"/>
      <c r="BM220" s="701"/>
      <c r="BN220" s="701"/>
      <c r="BO220" s="701"/>
      <c r="BP220" s="701"/>
      <c r="BQ220" s="754" t="str">
        <f>IF(res_utiliser_autres=menu_utilisateur,IF(OR(AP221="",AP221=N.D.),N.D.,AP221),IF(OR(res_utiliser_autres="",Q221="",Q221=N.D.),N.D.,Q221))</f>
        <v>N.D.</v>
      </c>
      <c r="BR220" s="754"/>
      <c r="BS220" s="754"/>
      <c r="BT220" s="754"/>
      <c r="BU220" s="390"/>
      <c r="BV220" s="754" t="str">
        <f>IF(res_utiliser_autres=menu_utilisateur,IF(OR(AU221="",AU221=N.D.),N.D.,AU221),IF(OR(res_utiliser_autres="",V221="",V221=N.D.),N.D.,V221))</f>
        <v>N.D.</v>
      </c>
      <c r="BW220" s="754"/>
      <c r="BX220" s="754"/>
      <c r="BY220" s="754"/>
      <c r="BZ220" s="390"/>
      <c r="CA220" s="754" t="str">
        <f>IF(OR(BQ220=N.D.,BV220=N.D.),N.D.,SUM(BQ220,BV220))</f>
        <v>N.D.</v>
      </c>
      <c r="CB220" s="754"/>
      <c r="CC220" s="754"/>
      <c r="CD220" s="754"/>
      <c r="CE220" s="354"/>
      <c r="KB220" s="500"/>
      <c r="KH220" s="721" t="s">
        <v>286</v>
      </c>
      <c r="KI220" s="721"/>
      <c r="KJ220" s="721"/>
      <c r="KK220" s="721"/>
      <c r="KN220" s="501"/>
      <c r="KO220" s="500"/>
      <c r="KS220" s="721" t="s">
        <v>286</v>
      </c>
      <c r="KT220" s="721"/>
      <c r="KU220" s="721"/>
      <c r="KV220" s="721"/>
      <c r="KZ220" s="501"/>
    </row>
    <row r="221" spans="1:313" ht="15" customHeight="1" x14ac:dyDescent="0.25">
      <c r="C221" s="72"/>
      <c r="D221" s="72"/>
      <c r="E221" s="36"/>
      <c r="F221" s="342"/>
      <c r="I221" s="701" t="s">
        <v>390</v>
      </c>
      <c r="J221" s="701"/>
      <c r="K221" s="701"/>
      <c r="L221" s="701"/>
      <c r="M221" s="701"/>
      <c r="N221" s="701"/>
      <c r="O221" s="701"/>
      <c r="P221" s="701"/>
      <c r="Q221" s="753" t="s">
        <v>577</v>
      </c>
      <c r="R221" s="702"/>
      <c r="S221" s="702"/>
      <c r="T221" s="702"/>
      <c r="U221" s="62"/>
      <c r="V221" s="754" t="str">
        <f>IF(gen_pop_MRC="",N.D.,gen_pop_MRC*Paramètres!E67/1000)</f>
        <v>N.D.</v>
      </c>
      <c r="W221" s="754"/>
      <c r="X221" s="754"/>
      <c r="Y221" s="754"/>
      <c r="Z221" s="62"/>
      <c r="AA221" s="754" t="str">
        <f>IF(OR(Q221=N.D.,V221=N.D.),N.D.,SUM(Q221,V221))</f>
        <v>N.D.</v>
      </c>
      <c r="AB221" s="754"/>
      <c r="AC221" s="754"/>
      <c r="AD221" s="754"/>
      <c r="AH221" s="701" t="str">
        <f>I221</f>
        <v>RDD</v>
      </c>
      <c r="AI221" s="701"/>
      <c r="AJ221" s="701"/>
      <c r="AK221" s="701"/>
      <c r="AL221" s="701"/>
      <c r="AM221" s="701"/>
      <c r="AN221" s="701"/>
      <c r="AO221" s="701"/>
      <c r="AP221" s="722"/>
      <c r="AQ221" s="722"/>
      <c r="AR221" s="722"/>
      <c r="AS221" s="722"/>
      <c r="AT221" s="74"/>
      <c r="AU221" s="722"/>
      <c r="AV221" s="722"/>
      <c r="AW221" s="722"/>
      <c r="AX221" s="722"/>
      <c r="AY221" s="62"/>
      <c r="AZ221" s="755" t="str">
        <f>IF(AND(AP221="",AU221=""),"",IF(OR(AP221="",AU221=""),N.D.,SUM(AP221,AU221)))</f>
        <v/>
      </c>
      <c r="BA221" s="755"/>
      <c r="BB221" s="755"/>
      <c r="BC221" s="755"/>
      <c r="BF221" s="342"/>
      <c r="BH221" s="353"/>
      <c r="BI221" s="729" t="str">
        <f>I222</f>
        <v>Encombrants</v>
      </c>
      <c r="BJ221" s="701"/>
      <c r="BK221" s="701"/>
      <c r="BL221" s="701"/>
      <c r="BM221" s="701"/>
      <c r="BN221" s="701"/>
      <c r="BO221" s="701"/>
      <c r="BP221" s="701"/>
      <c r="BQ221" s="754" t="str">
        <f>IF(res_utiliser_autres=menu_utilisateur,IF(OR(AP222="",AP222=N.D.),N.D.,AP222),IF(OR(res_utiliser_autres="",Q222="",Q222=N.D.),N.D.,Q222))</f>
        <v>N.D.</v>
      </c>
      <c r="BR221" s="754"/>
      <c r="BS221" s="754"/>
      <c r="BT221" s="754"/>
      <c r="BU221" s="26"/>
      <c r="BV221" s="754" t="str">
        <f>IF(res_utiliser_autres=menu_utilisateur,IF(OR(AU222="",AU222=N.D.),N.D.,AU222),IF(OR(res_utiliser_autres="",V222="",V222=N.D.),N.D.,V222))</f>
        <v>N.D.</v>
      </c>
      <c r="BW221" s="754"/>
      <c r="BX221" s="754"/>
      <c r="BY221" s="754"/>
      <c r="BZ221" s="26"/>
      <c r="CA221" s="743" t="str">
        <f>IF(OR(BQ221=N.D.,BV221=N.D.),N.D.,SUM(BQ221,BV221))</f>
        <v>N.D.</v>
      </c>
      <c r="CB221" s="743"/>
      <c r="CC221" s="743"/>
      <c r="CD221" s="743"/>
      <c r="CE221" s="354"/>
      <c r="KB221" s="500" t="s">
        <v>713</v>
      </c>
      <c r="KC221" s="507" t="s">
        <v>390</v>
      </c>
      <c r="KD221" s="507"/>
      <c r="KH221" s="719">
        <f>IF($KS$221="",$KH$217*0.22%,$KH$217*$KS$221)</f>
        <v>0</v>
      </c>
      <c r="KI221" s="719"/>
      <c r="KJ221" s="719"/>
      <c r="KK221" s="719"/>
      <c r="KN221" s="501"/>
      <c r="KO221" s="500"/>
      <c r="KS221" s="720">
        <v>1.2999999999999999E-2</v>
      </c>
      <c r="KT221" s="720"/>
      <c r="KU221" s="720"/>
      <c r="KV221" s="720"/>
      <c r="KZ221" s="501"/>
    </row>
    <row r="222" spans="1:313" ht="15" customHeight="1" x14ac:dyDescent="0.25">
      <c r="C222" s="72"/>
      <c r="D222" s="72"/>
      <c r="E222" s="36"/>
      <c r="F222" s="342"/>
      <c r="I222" s="729" t="s">
        <v>573</v>
      </c>
      <c r="J222" s="701"/>
      <c r="K222" s="701"/>
      <c r="L222" s="701"/>
      <c r="M222" s="701"/>
      <c r="N222" s="701"/>
      <c r="O222" s="701"/>
      <c r="P222" s="701"/>
      <c r="Q222" s="754" t="str">
        <f>IF(gen_pop_MRC="",N.D.,SUM(Q223,Q224))</f>
        <v>N.D.</v>
      </c>
      <c r="R222" s="754"/>
      <c r="S222" s="754"/>
      <c r="T222" s="754"/>
      <c r="U222" s="62"/>
      <c r="V222" s="754" t="str">
        <f>IF(gen_pop_MRC="",N.D.,SUM(V223,V224))</f>
        <v>N.D.</v>
      </c>
      <c r="W222" s="754"/>
      <c r="X222" s="754"/>
      <c r="Y222" s="754"/>
      <c r="Z222" s="62"/>
      <c r="AA222" s="754" t="str">
        <f>IF(OR(Q222=N.D.,V222=N.D.),N.D.,SUM(Q222,V222))</f>
        <v>N.D.</v>
      </c>
      <c r="AB222" s="754"/>
      <c r="AC222" s="754"/>
      <c r="AD222" s="754"/>
      <c r="AH222" s="729" t="str">
        <f>I222</f>
        <v>Encombrants</v>
      </c>
      <c r="AI222" s="701"/>
      <c r="AJ222" s="701"/>
      <c r="AK222" s="701"/>
      <c r="AL222" s="701"/>
      <c r="AM222" s="701"/>
      <c r="AN222" s="701"/>
      <c r="AO222" s="701"/>
      <c r="AP222" s="754" t="str">
        <f>IF(res_utiliser_autres=menu_utilisateur,IF(OR(AP223="",AP224=""),N.D.,SUM(AP223,AP224)),IF(AND(AP223="",AP224=""),"",SUM(AP223,AP224)))</f>
        <v/>
      </c>
      <c r="AQ222" s="754"/>
      <c r="AR222" s="754"/>
      <c r="AS222" s="754"/>
      <c r="AT222" s="74"/>
      <c r="AU222" s="754" t="str">
        <f>IF(res_utiliser_autres=menu_utilisateur,IF(OR(AU223="",AU224=""),N.D.,SUM(AU223,AU224)),IF(AND(AU223="",AU224=""),"",SUM(AU223,AU224)))</f>
        <v/>
      </c>
      <c r="AV222" s="754"/>
      <c r="AW222" s="754"/>
      <c r="AX222" s="754"/>
      <c r="AY222" s="74"/>
      <c r="AZ222" s="755" t="str">
        <f>IF(AND(AP222="",AU222=""),"",IF(OR(AP222="",AU222=""),N.D.,SUM(AP222,AU222)))</f>
        <v/>
      </c>
      <c r="BA222" s="755"/>
      <c r="BB222" s="755"/>
      <c r="BC222" s="755"/>
      <c r="BF222" s="342"/>
      <c r="BH222" s="353"/>
      <c r="BI222" s="16" t="str">
        <f>I223</f>
        <v>Ä</v>
      </c>
      <c r="BJ222" s="771" t="str">
        <f>J223</f>
        <v>Métalliques</v>
      </c>
      <c r="BK222" s="771"/>
      <c r="BL222" s="771"/>
      <c r="BM222" s="771"/>
      <c r="BN222" s="771"/>
      <c r="BO222" s="771"/>
      <c r="BP222" s="771"/>
      <c r="BQ222" s="702" t="str">
        <f>IF(res_utiliser_autres=menu_utilisateur,IF(OR(AP223="",AP223=N.D.),N.D.,AP223),IF(OR(res_utiliser_autres="",Q223="",Q223=N.D.),N.D.,Q223))</f>
        <v>N.D.</v>
      </c>
      <c r="BR222" s="702"/>
      <c r="BS222" s="702"/>
      <c r="BT222" s="702"/>
      <c r="BU222" s="348"/>
      <c r="BV222" s="702" t="str">
        <f>IF(res_utiliser_autres=menu_utilisateur,IF(OR(AU223="",AU223=N.D.),N.D.,AU223),IF(OR(res_utiliser_autres="",V223="",V223=N.D.),N.D.,V223))</f>
        <v>N.D.</v>
      </c>
      <c r="BW222" s="702"/>
      <c r="BX222" s="702"/>
      <c r="BY222" s="702"/>
      <c r="BZ222" s="348"/>
      <c r="CA222" s="743" t="str">
        <f>IF(OR(BQ222=N.D.,BV222=N.D.),N.D.,SUM(BQ222,BV222))</f>
        <v>N.D.</v>
      </c>
      <c r="CB222" s="743"/>
      <c r="CC222" s="743"/>
      <c r="CD222" s="743"/>
      <c r="CE222" s="354"/>
      <c r="KB222" s="500"/>
      <c r="KC222" s="507" t="s">
        <v>573</v>
      </c>
      <c r="KD222" s="507"/>
      <c r="KN222" s="501"/>
      <c r="KO222" s="500"/>
      <c r="KZ222" s="501"/>
    </row>
    <row r="223" spans="1:313" ht="15" customHeight="1" x14ac:dyDescent="0.25">
      <c r="C223" s="72"/>
      <c r="D223" s="72"/>
      <c r="E223" s="36"/>
      <c r="F223" s="342"/>
      <c r="I223" s="16" t="str">
        <f>puce1</f>
        <v>Ä</v>
      </c>
      <c r="J223" s="771" t="s">
        <v>574</v>
      </c>
      <c r="K223" s="771"/>
      <c r="L223" s="771"/>
      <c r="M223" s="771"/>
      <c r="N223" s="771"/>
      <c r="O223" s="771"/>
      <c r="P223" s="771"/>
      <c r="Q223" s="702" t="str">
        <f>IF(gen_pop_MRC="",N.D.,gen_pop_MRC*Paramètres!E44/1000)</f>
        <v>N.D.</v>
      </c>
      <c r="R223" s="702"/>
      <c r="S223" s="702"/>
      <c r="T223" s="702"/>
      <c r="U223" s="62"/>
      <c r="V223" s="702" t="str">
        <f>IF(gen_pop_MRC="",N.D.,gen_pop_MRC*Paramètres!E71/1000)</f>
        <v>N.D.</v>
      </c>
      <c r="W223" s="702"/>
      <c r="X223" s="702"/>
      <c r="Y223" s="702"/>
      <c r="Z223" s="62"/>
      <c r="AA223" s="702" t="str">
        <f>IF(OR(Q223=N.D.,V223=N.D.),N.D.,SUM(Q223,V223))</f>
        <v>N.D.</v>
      </c>
      <c r="AB223" s="702"/>
      <c r="AC223" s="702"/>
      <c r="AD223" s="702"/>
      <c r="AH223" s="16" t="str">
        <f>puce1</f>
        <v>Ä</v>
      </c>
      <c r="AI223" s="771" t="str">
        <f>J223</f>
        <v>Métalliques</v>
      </c>
      <c r="AJ223" s="771"/>
      <c r="AK223" s="771"/>
      <c r="AL223" s="771"/>
      <c r="AM223" s="771"/>
      <c r="AN223" s="771"/>
      <c r="AO223" s="771"/>
      <c r="AP223" s="722"/>
      <c r="AQ223" s="722"/>
      <c r="AR223" s="722"/>
      <c r="AS223" s="722"/>
      <c r="AT223" s="74"/>
      <c r="AU223" s="696"/>
      <c r="AV223" s="696"/>
      <c r="AW223" s="696"/>
      <c r="AX223" s="696"/>
      <c r="AY223" s="74"/>
      <c r="AZ223" s="755" t="str">
        <f>IF(AND(AP223="",AU223=""),"",IF(OR(AP223="",AU223=""),N.D.,SUM(AP223,AU223)))</f>
        <v/>
      </c>
      <c r="BA223" s="755"/>
      <c r="BB223" s="755"/>
      <c r="BC223" s="755"/>
      <c r="BF223" s="342"/>
      <c r="BH223" s="353"/>
      <c r="BI223" s="16" t="str">
        <f>I224</f>
        <v>Ä</v>
      </c>
      <c r="BJ223" s="771" t="str">
        <f>J224</f>
        <v>Non-métalliques</v>
      </c>
      <c r="BK223" s="771"/>
      <c r="BL223" s="771"/>
      <c r="BM223" s="771"/>
      <c r="BN223" s="771"/>
      <c r="BO223" s="771"/>
      <c r="BP223" s="771"/>
      <c r="BQ223" s="702" t="str">
        <f>IF(res_utiliser_autres=menu_utilisateur,IF(OR(AP224="",AP224=N.D.),N.D.,AP224),IF(OR(res_utiliser_autres="",Q224="",Q224=N.D.),N.D.,Q224))</f>
        <v>N.D.</v>
      </c>
      <c r="BR223" s="702"/>
      <c r="BS223" s="702"/>
      <c r="BT223" s="702"/>
      <c r="BU223" s="348"/>
      <c r="BV223" s="702" t="str">
        <f>IF(res_utiliser_autres=menu_utilisateur,IF(OR(AU224="",AU224=N.D.),N.D.,AU224),IF(OR(res_utiliser_autres="",V224="",V224=N.D.),N.D.,V224))</f>
        <v>N.D.</v>
      </c>
      <c r="BW223" s="702"/>
      <c r="BX223" s="702"/>
      <c r="BY223" s="702"/>
      <c r="BZ223" s="348"/>
      <c r="CA223" s="743" t="str">
        <f>IF(OR(BQ223=N.D.,BV223=N.D.),N.D.,SUM(BQ223,BV223))</f>
        <v>N.D.</v>
      </c>
      <c r="CB223" s="743"/>
      <c r="CC223" s="743"/>
      <c r="CD223" s="743"/>
      <c r="CE223" s="354"/>
      <c r="KB223" s="500"/>
      <c r="KC223" s="509" t="str">
        <f>"     "&amp;J223</f>
        <v xml:space="preserve">     Métalliques</v>
      </c>
      <c r="KD223" s="507"/>
      <c r="KH223" s="719">
        <f>IF($KS$223="",$KH$217*0.8%,$KH$217*$KS$223)</f>
        <v>0</v>
      </c>
      <c r="KI223" s="719"/>
      <c r="KJ223" s="719"/>
      <c r="KK223" s="719"/>
      <c r="KN223" s="501"/>
      <c r="KO223" s="500"/>
      <c r="KS223" s="720">
        <v>8.0000000000000002E-3</v>
      </c>
      <c r="KT223" s="720"/>
      <c r="KU223" s="720"/>
      <c r="KV223" s="720"/>
      <c r="KZ223" s="501"/>
    </row>
    <row r="224" spans="1:313" ht="15" customHeight="1" x14ac:dyDescent="0.25">
      <c r="C224" s="72"/>
      <c r="D224" s="72"/>
      <c r="E224" s="36"/>
      <c r="F224" s="342"/>
      <c r="I224" s="16" t="str">
        <f>puce1</f>
        <v>Ä</v>
      </c>
      <c r="J224" s="771" t="s">
        <v>575</v>
      </c>
      <c r="K224" s="771"/>
      <c r="L224" s="771"/>
      <c r="M224" s="771"/>
      <c r="N224" s="771"/>
      <c r="O224" s="771"/>
      <c r="P224" s="771"/>
      <c r="Q224" s="753" t="s">
        <v>577</v>
      </c>
      <c r="R224" s="702"/>
      <c r="S224" s="702"/>
      <c r="T224" s="702"/>
      <c r="U224" s="62"/>
      <c r="V224" s="702" t="str">
        <f>IF(gen_pop_MRC="",N.D.,gen_pop_MRC*Paramètres!E72/1000)</f>
        <v>N.D.</v>
      </c>
      <c r="W224" s="702"/>
      <c r="X224" s="702"/>
      <c r="Y224" s="702"/>
      <c r="Z224" s="62"/>
      <c r="AA224" s="702" t="str">
        <f>IF(OR(Q224=N.D.,V224=N.D.),N.D.,SUM(Q224,V224))</f>
        <v>N.D.</v>
      </c>
      <c r="AB224" s="702"/>
      <c r="AC224" s="702"/>
      <c r="AD224" s="702"/>
      <c r="AH224" s="16" t="str">
        <f>puce1</f>
        <v>Ä</v>
      </c>
      <c r="AI224" s="771" t="str">
        <f>J224</f>
        <v>Non-métalliques</v>
      </c>
      <c r="AJ224" s="771"/>
      <c r="AK224" s="771"/>
      <c r="AL224" s="771"/>
      <c r="AM224" s="771"/>
      <c r="AN224" s="771"/>
      <c r="AO224" s="771"/>
      <c r="AP224" s="722"/>
      <c r="AQ224" s="722"/>
      <c r="AR224" s="722"/>
      <c r="AS224" s="722"/>
      <c r="AT224" s="74"/>
      <c r="AU224" s="696"/>
      <c r="AV224" s="696"/>
      <c r="AW224" s="696"/>
      <c r="AX224" s="696"/>
      <c r="AY224" s="74"/>
      <c r="AZ224" s="755" t="str">
        <f>IF(AND(AP224="",AU224=""),"",IF(OR(AP224="",AU224=""),N.D.,SUM(AP224,AU224)))</f>
        <v/>
      </c>
      <c r="BA224" s="755"/>
      <c r="BB224" s="755"/>
      <c r="BC224" s="755"/>
      <c r="BD224" s="339"/>
      <c r="BF224" s="342"/>
      <c r="BH224" s="353"/>
      <c r="BI224" s="143"/>
      <c r="BJ224" s="143"/>
      <c r="BK224" s="143"/>
      <c r="BL224" s="143"/>
      <c r="BM224" s="143"/>
      <c r="BN224" s="143"/>
      <c r="BO224" s="339"/>
      <c r="BP224" s="339"/>
      <c r="BQ224" s="339"/>
      <c r="BR224" s="339"/>
      <c r="BS224" s="339"/>
      <c r="BT224" s="339"/>
      <c r="BU224" s="339"/>
      <c r="BV224" s="339"/>
      <c r="BW224" s="339"/>
      <c r="BX224" s="339"/>
      <c r="BY224" s="339"/>
      <c r="BZ224" s="339"/>
      <c r="CA224" s="339"/>
      <c r="CB224" s="339"/>
      <c r="CC224" s="339"/>
      <c r="CD224" s="339"/>
      <c r="CE224" s="179"/>
      <c r="KB224" s="500"/>
      <c r="KC224" s="509" t="str">
        <f>"     "&amp;J224</f>
        <v xml:space="preserve">     Non-métalliques</v>
      </c>
      <c r="KD224" s="507"/>
      <c r="KH224" s="719">
        <f>IF($KS$224="",$KH$217*0.9%,$KH$217*$KS$224)</f>
        <v>0</v>
      </c>
      <c r="KI224" s="719"/>
      <c r="KJ224" s="719"/>
      <c r="KK224" s="719"/>
      <c r="KN224" s="501"/>
      <c r="KO224" s="500"/>
      <c r="KS224" s="720">
        <v>8.9999999999999993E-3</v>
      </c>
      <c r="KT224" s="720"/>
      <c r="KU224" s="720"/>
      <c r="KV224" s="720"/>
      <c r="KZ224" s="501"/>
    </row>
    <row r="225" spans="3:312" ht="15" customHeight="1" thickBot="1" x14ac:dyDescent="0.3">
      <c r="C225" s="72"/>
      <c r="D225" s="72"/>
      <c r="E225" s="36"/>
      <c r="F225" s="342"/>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H225" s="339"/>
      <c r="AI225" s="339"/>
      <c r="AJ225" s="339"/>
      <c r="AK225" s="339"/>
      <c r="AL225" s="339"/>
      <c r="AM225" s="339"/>
      <c r="AN225" s="339"/>
      <c r="AO225" s="339"/>
      <c r="AP225" s="177"/>
      <c r="AQ225" s="177"/>
      <c r="AR225" s="177"/>
      <c r="AS225" s="177"/>
      <c r="AT225" s="177"/>
      <c r="AU225" s="177"/>
      <c r="AV225" s="177"/>
      <c r="AW225" s="177"/>
      <c r="AX225" s="177"/>
      <c r="AY225" s="177"/>
      <c r="AZ225" s="177"/>
      <c r="BA225" s="177"/>
      <c r="BB225" s="177"/>
      <c r="BC225" s="177"/>
      <c r="BF225" s="342"/>
      <c r="BH225" s="353"/>
      <c r="BI225" s="730" t="str">
        <f>$I$226</f>
        <v>Total</v>
      </c>
      <c r="BJ225" s="730"/>
      <c r="BK225" s="730"/>
      <c r="BL225" s="730"/>
      <c r="BM225" s="730"/>
      <c r="BN225" s="730"/>
      <c r="BO225" s="730"/>
      <c r="BP225" s="730"/>
      <c r="BQ225" s="743" t="str">
        <f>IF(COUNTIF(BQ220:BQ223,N.D.)&gt;0,N.D.,SUM(BQ220:BQ221))</f>
        <v>N.D.</v>
      </c>
      <c r="BR225" s="743"/>
      <c r="BS225" s="743"/>
      <c r="BT225" s="743"/>
      <c r="BU225" s="348"/>
      <c r="BV225" s="743" t="str">
        <f>IF(COUNTIF(BV220:BV223,N.D.)&gt;0,N.D.,SUM(BV220:BV221))</f>
        <v>N.D.</v>
      </c>
      <c r="BW225" s="743"/>
      <c r="BX225" s="743"/>
      <c r="BY225" s="743"/>
      <c r="BZ225" s="348"/>
      <c r="CA225" s="754" t="str">
        <f>IF(OR(BQ225=N.D.,BV225=N.D.),N.D.,SUM(BQ225,BV225))</f>
        <v>N.D.</v>
      </c>
      <c r="CB225" s="754"/>
      <c r="CC225" s="754"/>
      <c r="CD225" s="754"/>
      <c r="CE225" s="354"/>
      <c r="KB225" s="504"/>
      <c r="KC225" s="505"/>
      <c r="KD225" s="505"/>
      <c r="KE225" s="505"/>
      <c r="KF225" s="505"/>
      <c r="KG225" s="505"/>
      <c r="KH225" s="505"/>
      <c r="KI225" s="505"/>
      <c r="KJ225" s="505"/>
      <c r="KK225" s="505"/>
      <c r="KL225" s="505"/>
      <c r="KM225" s="505"/>
      <c r="KN225" s="506"/>
      <c r="KO225" s="504"/>
      <c r="KP225" s="505"/>
      <c r="KQ225" s="505"/>
      <c r="KR225" s="505"/>
      <c r="KS225" s="505"/>
      <c r="KT225" s="505"/>
      <c r="KU225" s="505"/>
      <c r="KV225" s="505"/>
      <c r="KW225" s="505"/>
      <c r="KX225" s="505"/>
      <c r="KY225" s="505"/>
      <c r="KZ225" s="506"/>
    </row>
    <row r="226" spans="3:312" ht="15" customHeight="1" thickBot="1" x14ac:dyDescent="0.3">
      <c r="F226" s="342"/>
      <c r="I226" s="730" t="s">
        <v>276</v>
      </c>
      <c r="J226" s="730"/>
      <c r="K226" s="730"/>
      <c r="L226" s="730"/>
      <c r="M226" s="730"/>
      <c r="N226" s="730"/>
      <c r="O226" s="730"/>
      <c r="P226" s="730"/>
      <c r="Q226" s="743" t="str">
        <f>IF(COUNTIF(Q221:Q222,N.D.)&gt;0,N.D.,SUM(Q221:Q222))</f>
        <v>N.D.</v>
      </c>
      <c r="R226" s="743"/>
      <c r="S226" s="743"/>
      <c r="T226" s="743"/>
      <c r="U226" s="64"/>
      <c r="V226" s="743" t="str">
        <f>IF(COUNTIF(V221:V222,N.D.)&gt;0,N.D.,SUM(V221:V222))</f>
        <v>N.D.</v>
      </c>
      <c r="W226" s="743"/>
      <c r="X226" s="743"/>
      <c r="Y226" s="743"/>
      <c r="Z226" s="64"/>
      <c r="AA226" s="743" t="str">
        <f>IF(OR(Q226=N.D.,V226=N.D.),N.D.,SUM(Q226,V226))</f>
        <v>N.D.</v>
      </c>
      <c r="AB226" s="743"/>
      <c r="AC226" s="743"/>
      <c r="AD226" s="743"/>
      <c r="AH226" s="730" t="str">
        <f>I226</f>
        <v>Total</v>
      </c>
      <c r="AI226" s="730"/>
      <c r="AJ226" s="730"/>
      <c r="AK226" s="730"/>
      <c r="AL226" s="730"/>
      <c r="AM226" s="730"/>
      <c r="AN226" s="730"/>
      <c r="AO226" s="730"/>
      <c r="AP226" s="765" t="str">
        <f>IF(COUNTA(AP221,AP223:AP224)=0,"",IF(AND(res_utiliser_autres=menu_utilisateur,COUNTBLANK(AP221:AP224)&gt;0),N.D.,SUM(AP221:AP222)))</f>
        <v/>
      </c>
      <c r="AQ226" s="765"/>
      <c r="AR226" s="765"/>
      <c r="AS226" s="765"/>
      <c r="AT226" s="64"/>
      <c r="AU226" s="765" t="str">
        <f>IF(COUNTA(AU221,AU223:AU224)=0,"",IF(AND(res_utiliser_autres=menu_utilisateur,COUNTBLANK(AU221:AU224)&gt;0),N.D.,SUM(AU221:AU222)))</f>
        <v/>
      </c>
      <c r="AV226" s="765"/>
      <c r="AW226" s="765"/>
      <c r="AX226" s="765"/>
      <c r="AY226" s="64"/>
      <c r="AZ226" s="743" t="str">
        <f>IF(AND(AP226="",AU226=""),"",IF(OR(AP226=N.D.,AU226=N.D.),N.D.,SUM(AP226,AU226)))</f>
        <v/>
      </c>
      <c r="BA226" s="743"/>
      <c r="BB226" s="743"/>
      <c r="BC226" s="743"/>
      <c r="BF226" s="342"/>
      <c r="BH226" s="58"/>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5"/>
    </row>
    <row r="227" spans="3:312" ht="15" customHeight="1" x14ac:dyDescent="0.25">
      <c r="F227" s="342"/>
      <c r="I227" s="770" t="str">
        <f>IF(OR(Q221=N.D.,V221=N.D.),N.D.,"")</f>
        <v>N.D.</v>
      </c>
      <c r="J227" s="770"/>
      <c r="K227" s="735" t="str">
        <f>IF(I227=N.D.,txt_N.D.&amp;'Données générales'!AH8,"")</f>
        <v>Non disponible : vérifiez les données à la question 1.5</v>
      </c>
      <c r="L227" s="735"/>
      <c r="M227" s="735"/>
      <c r="N227" s="735"/>
      <c r="O227" s="735"/>
      <c r="P227" s="735"/>
      <c r="Q227" s="735"/>
      <c r="R227" s="735"/>
      <c r="S227" s="735"/>
      <c r="T227" s="735"/>
      <c r="U227" s="735"/>
      <c r="V227" s="735"/>
      <c r="W227" s="735"/>
      <c r="X227" s="735"/>
      <c r="Y227" s="735"/>
      <c r="Z227" s="735"/>
      <c r="AA227" s="735"/>
      <c r="AB227" s="735"/>
      <c r="AC227" s="735"/>
      <c r="AD227" s="735"/>
      <c r="AH227" s="94" t="str">
        <f>IF((COUNTIF(AP215:AP217,"")+(COUNTIF(AU215:AU217,"")))=0,"plein","vide")</f>
        <v>vide</v>
      </c>
      <c r="BF227" s="342"/>
    </row>
    <row r="228" spans="3:312" ht="15" customHeight="1" x14ac:dyDescent="0.25">
      <c r="F228" s="342"/>
      <c r="AE228" s="767" t="str">
        <f>txt_aide</f>
        <v>Aide à la validation des données :</v>
      </c>
      <c r="AF228" s="767"/>
      <c r="AG228" s="767"/>
      <c r="AH228" s="767"/>
      <c r="AI228" s="767"/>
      <c r="AJ228" s="767"/>
      <c r="AK228" s="767"/>
      <c r="AL228" s="767"/>
      <c r="AM228" s="767"/>
      <c r="AN228" s="767"/>
      <c r="AO228" s="767"/>
      <c r="AP228" s="764" t="str">
        <f>IF(OR(Q226=N.D.,AP226="",AP226=N.D.,res_utiliser_autres=""),N.D.,IF(AND(Q226=0,AP226=0),0,IF(OR(Q226=0,AP226=0),N.A.,IF(AP226&lt;Q226,(Q226-AP226)/AP226,(AP226-Q226)/Q226))))</f>
        <v>N.D.</v>
      </c>
      <c r="AQ228" s="764"/>
      <c r="AR228" s="764"/>
      <c r="AS228" s="764"/>
      <c r="AT228" s="97"/>
      <c r="AU228" s="764" t="str">
        <f>IF(OR(V226=N.D.,AU226="",AU226=N.D.,res_utiliser_autres=""),N.D.,IF(AND(V226=0,AU226=0),0,IF(OR(V226=0,AU226=0),N.A.,IF(AU226&lt;V226,(V226-AU226)/AU226,(AU226-V226)/V226))))</f>
        <v>N.D.</v>
      </c>
      <c r="AV228" s="764"/>
      <c r="AW228" s="764"/>
      <c r="AX228" s="764"/>
      <c r="AY228" s="76"/>
      <c r="AZ228" s="764" t="str">
        <f>IF(OR(AA226=N.D.,AZ226="",AZ226=N.D.,res_utiliser_autres=""),N.D.,IF(AND(AA226=0,AZ226=0),0,IF(OR(AA226=0,AZ226=0),N.A.,IF(AZ226&lt;AA226,(AA226-AZ226)/AZ226,(AZ226-AA226)/AA226))))</f>
        <v>N.D.</v>
      </c>
      <c r="BA228" s="764"/>
      <c r="BB228" s="764"/>
      <c r="BC228" s="764"/>
      <c r="BF228" s="342"/>
    </row>
    <row r="229" spans="3:312" ht="15" customHeight="1" x14ac:dyDescent="0.25">
      <c r="F229" s="342"/>
      <c r="AH229" s="115" t="str">
        <f>IF(res_utiliser_autres&lt;&gt;menu_outil,IF((COUNTIF(AP228,N.D.)+(COUNTIF(AU228,N.D.)))=0,"",N.D.),"")</f>
        <v>N.D.</v>
      </c>
      <c r="AI229" s="16" t="str">
        <f>puce1</f>
        <v>Ä</v>
      </c>
      <c r="AJ229" s="735" t="str">
        <f>IF(res_utiliser_autres=menu_outil,txt_validation,IF(I227=N.D.,IF(AZ228=N.D.,K227,""),IF(AH229=N.D.,txt_N.D.&amp;AI218,"")))</f>
        <v>Non disponible : vérifiez les données à la question 1.5</v>
      </c>
      <c r="AK229" s="735"/>
      <c r="AL229" s="735"/>
      <c r="AM229" s="735"/>
      <c r="AN229" s="735"/>
      <c r="AO229" s="735"/>
      <c r="AP229" s="735"/>
      <c r="AQ229" s="735"/>
      <c r="AR229" s="735"/>
      <c r="AS229" s="735"/>
      <c r="AT229" s="735"/>
      <c r="AU229" s="735"/>
      <c r="AV229" s="735"/>
      <c r="AW229" s="735"/>
      <c r="AX229" s="735"/>
      <c r="AY229" s="735"/>
      <c r="AZ229" s="735"/>
      <c r="BA229" s="735"/>
      <c r="BB229" s="735"/>
      <c r="BC229" s="735"/>
      <c r="BF229" s="342"/>
    </row>
    <row r="230" spans="3:312" ht="15" customHeight="1" x14ac:dyDescent="0.25">
      <c r="F230" s="342"/>
      <c r="AH230" s="117" t="str">
        <f>IF(res_utiliser_VHU&lt;&gt;menu_outil,IF((COUNTIF(AP228,N.A.)+(COUNTIF(AU228,N.A.)))=0,"",N.A.),"")</f>
        <v/>
      </c>
      <c r="AI230" s="87"/>
      <c r="AJ230" s="766" t="str">
        <f>IF(AH230=N.A.,txt_N.A.,"")</f>
        <v/>
      </c>
      <c r="AK230" s="766"/>
      <c r="AL230" s="766"/>
      <c r="AM230" s="766"/>
      <c r="AN230" s="766"/>
      <c r="AO230" s="766"/>
      <c r="AP230" s="766"/>
      <c r="AQ230" s="766"/>
      <c r="AR230" s="766"/>
      <c r="AS230" s="766"/>
      <c r="AT230" s="766"/>
      <c r="AU230" s="766"/>
      <c r="AV230" s="766"/>
      <c r="AW230" s="766"/>
      <c r="AX230" s="766"/>
      <c r="AY230" s="766"/>
      <c r="AZ230" s="766"/>
      <c r="BA230" s="766"/>
      <c r="BB230" s="766"/>
      <c r="BC230" s="766"/>
      <c r="BF230" s="342"/>
    </row>
    <row r="231" spans="3:312" ht="15" customHeight="1" x14ac:dyDescent="0.25">
      <c r="F231" s="342"/>
      <c r="AJ231" s="766"/>
      <c r="AK231" s="766"/>
      <c r="AL231" s="766"/>
      <c r="AM231" s="766"/>
      <c r="AN231" s="766"/>
      <c r="AO231" s="766"/>
      <c r="AP231" s="766"/>
      <c r="AQ231" s="766"/>
      <c r="AR231" s="766"/>
      <c r="AS231" s="766"/>
      <c r="AT231" s="766"/>
      <c r="AU231" s="766"/>
      <c r="AV231" s="766"/>
      <c r="AW231" s="766"/>
      <c r="AX231" s="766"/>
      <c r="AY231" s="766"/>
      <c r="AZ231" s="766"/>
      <c r="BA231" s="766"/>
      <c r="BB231" s="766"/>
      <c r="BC231" s="766"/>
      <c r="BF231" s="342"/>
    </row>
    <row r="232" spans="3:312" ht="30.75" customHeight="1" x14ac:dyDescent="0.25">
      <c r="C232" s="73" t="str">
        <f>$C$189&amp;".3"</f>
        <v>7.3</v>
      </c>
      <c r="D232" s="73"/>
      <c r="E232" s="21"/>
      <c r="F232" s="342"/>
      <c r="G232" s="19"/>
      <c r="H232" s="19"/>
      <c r="I232" s="19"/>
      <c r="J232" s="77" t="str">
        <f>CONCATENATE($B$2,".",$C232,".")</f>
        <v>2.7.3.</v>
      </c>
      <c r="K232" s="847" t="s">
        <v>738</v>
      </c>
      <c r="L232" s="847"/>
      <c r="M232" s="847"/>
      <c r="N232" s="847"/>
      <c r="O232" s="847"/>
      <c r="P232" s="847"/>
      <c r="Q232" s="847"/>
      <c r="R232" s="847"/>
      <c r="S232" s="847"/>
      <c r="T232" s="847"/>
      <c r="U232" s="847"/>
      <c r="V232" s="847"/>
      <c r="W232" s="847"/>
      <c r="X232" s="847"/>
      <c r="Y232" s="847"/>
      <c r="Z232" s="847"/>
      <c r="AA232" s="847"/>
      <c r="AB232" s="847"/>
      <c r="AC232" s="847"/>
      <c r="AD232" s="847"/>
      <c r="AE232" s="840"/>
      <c r="AF232" s="840"/>
      <c r="AG232" s="840"/>
      <c r="AH232" s="840"/>
      <c r="AI232" s="278"/>
      <c r="AN232" s="337"/>
      <c r="AO232" s="337"/>
      <c r="AP232" s="337"/>
      <c r="AQ232" s="337"/>
      <c r="AR232" s="337"/>
      <c r="AS232" s="337"/>
      <c r="AT232" s="337"/>
      <c r="AU232" s="337"/>
      <c r="AV232" s="337"/>
      <c r="AW232" s="337"/>
      <c r="AX232" s="337"/>
      <c r="AY232" s="337"/>
      <c r="AZ232" s="337"/>
      <c r="BA232" s="337"/>
      <c r="BB232" s="337"/>
      <c r="BC232" s="337"/>
      <c r="BF232" s="342"/>
    </row>
    <row r="233" spans="3:312" ht="15" customHeight="1" x14ac:dyDescent="0.25">
      <c r="F233" s="342"/>
      <c r="AJ233" s="337"/>
      <c r="AK233" s="337"/>
      <c r="AL233" s="337"/>
      <c r="AM233" s="337"/>
      <c r="AN233" s="337"/>
      <c r="AO233" s="337"/>
      <c r="AP233" s="337"/>
      <c r="AQ233" s="337"/>
      <c r="AR233" s="337"/>
      <c r="AS233" s="337"/>
      <c r="AT233" s="337"/>
      <c r="AU233" s="337"/>
      <c r="AV233" s="337"/>
      <c r="AW233" s="337"/>
      <c r="AX233" s="337"/>
      <c r="AY233" s="337"/>
      <c r="AZ233" s="337"/>
      <c r="BA233" s="337"/>
      <c r="BB233" s="337"/>
      <c r="BC233" s="337"/>
      <c r="BF233" s="342"/>
    </row>
    <row r="234" spans="3:312" ht="15" customHeight="1" thickBot="1" x14ac:dyDescent="0.3">
      <c r="F234" s="342"/>
      <c r="AJ234" s="337"/>
      <c r="AK234" s="337"/>
      <c r="AL234" s="337"/>
      <c r="AM234" s="337"/>
      <c r="AN234" s="337"/>
      <c r="AO234" s="337"/>
      <c r="AP234" s="337"/>
      <c r="AQ234" s="337"/>
      <c r="AR234" s="337"/>
      <c r="AS234" s="337"/>
      <c r="AT234" s="337"/>
      <c r="AU234" s="337"/>
      <c r="AV234" s="337"/>
      <c r="AW234" s="337"/>
      <c r="AX234" s="337"/>
      <c r="AY234" s="337"/>
      <c r="AZ234" s="337"/>
      <c r="BA234" s="337"/>
      <c r="BB234" s="337"/>
      <c r="BC234" s="337"/>
      <c r="BF234" s="342"/>
    </row>
    <row r="235" spans="3:312" ht="21.75" customHeight="1" x14ac:dyDescent="0.25">
      <c r="F235" s="342"/>
      <c r="I235" s="841" t="s">
        <v>781</v>
      </c>
      <c r="J235" s="842"/>
      <c r="K235" s="842"/>
      <c r="L235" s="842"/>
      <c r="M235" s="842"/>
      <c r="N235" s="842"/>
      <c r="O235" s="842"/>
      <c r="P235" s="842"/>
      <c r="Q235" s="842"/>
      <c r="R235" s="842"/>
      <c r="S235" s="842"/>
      <c r="T235" s="842"/>
      <c r="U235" s="842"/>
      <c r="V235" s="842"/>
      <c r="W235" s="842"/>
      <c r="X235" s="842"/>
      <c r="Y235" s="842"/>
      <c r="Z235" s="842"/>
      <c r="AA235" s="842"/>
      <c r="AB235" s="842"/>
      <c r="AC235" s="842"/>
      <c r="AD235" s="842"/>
      <c r="AE235" s="842"/>
      <c r="AF235" s="842"/>
      <c r="AG235" s="842"/>
      <c r="AH235" s="842"/>
      <c r="AI235" s="842"/>
      <c r="AJ235" s="842"/>
      <c r="AK235" s="842"/>
      <c r="AL235" s="842"/>
      <c r="AM235" s="842"/>
      <c r="AN235" s="842"/>
      <c r="AO235" s="842"/>
      <c r="AP235" s="842"/>
      <c r="AQ235" s="842"/>
      <c r="AR235" s="842"/>
      <c r="AS235" s="842"/>
      <c r="AT235" s="842"/>
      <c r="AU235" s="842"/>
      <c r="AV235" s="842"/>
      <c r="AW235" s="842"/>
      <c r="AX235" s="842"/>
      <c r="AY235" s="842"/>
      <c r="AZ235" s="842"/>
      <c r="BA235" s="842"/>
      <c r="BB235" s="842"/>
      <c r="BC235" s="843"/>
      <c r="BF235" s="342"/>
    </row>
    <row r="236" spans="3:312" ht="21.75" customHeight="1" thickBot="1" x14ac:dyDescent="0.3">
      <c r="F236" s="342"/>
      <c r="I236" s="844"/>
      <c r="J236" s="845"/>
      <c r="K236" s="845"/>
      <c r="L236" s="845"/>
      <c r="M236" s="845"/>
      <c r="N236" s="845"/>
      <c r="O236" s="845"/>
      <c r="P236" s="845"/>
      <c r="Q236" s="845"/>
      <c r="R236" s="845"/>
      <c r="S236" s="845"/>
      <c r="T236" s="845"/>
      <c r="U236" s="845"/>
      <c r="V236" s="845"/>
      <c r="W236" s="845"/>
      <c r="X236" s="845"/>
      <c r="Y236" s="845"/>
      <c r="Z236" s="845"/>
      <c r="AA236" s="845"/>
      <c r="AB236" s="845"/>
      <c r="AC236" s="845"/>
      <c r="AD236" s="845"/>
      <c r="AE236" s="845"/>
      <c r="AF236" s="845"/>
      <c r="AG236" s="845"/>
      <c r="AH236" s="845"/>
      <c r="AI236" s="845"/>
      <c r="AJ236" s="845"/>
      <c r="AK236" s="845"/>
      <c r="AL236" s="845"/>
      <c r="AM236" s="845"/>
      <c r="AN236" s="845"/>
      <c r="AO236" s="845"/>
      <c r="AP236" s="845"/>
      <c r="AQ236" s="845"/>
      <c r="AR236" s="845"/>
      <c r="AS236" s="845"/>
      <c r="AT236" s="845"/>
      <c r="AU236" s="845"/>
      <c r="AV236" s="845"/>
      <c r="AW236" s="845"/>
      <c r="AX236" s="845"/>
      <c r="AY236" s="845"/>
      <c r="AZ236" s="845"/>
      <c r="BA236" s="845"/>
      <c r="BB236" s="845"/>
      <c r="BC236" s="846"/>
      <c r="BF236" s="342"/>
    </row>
    <row r="237" spans="3:312" ht="15" customHeight="1" x14ac:dyDescent="0.25">
      <c r="F237" s="342"/>
      <c r="BF237" s="342"/>
    </row>
    <row r="238" spans="3:312" ht="5.25" customHeight="1" x14ac:dyDescent="0.25">
      <c r="F238" s="342"/>
      <c r="G238" s="342"/>
      <c r="H238" s="342"/>
      <c r="I238" s="342"/>
      <c r="J238" s="342"/>
      <c r="K238" s="342"/>
      <c r="L238" s="342"/>
      <c r="M238" s="342"/>
      <c r="N238" s="342"/>
      <c r="O238" s="342"/>
      <c r="P238" s="342"/>
      <c r="Q238" s="342"/>
      <c r="R238" s="342"/>
      <c r="S238" s="342"/>
      <c r="T238" s="342"/>
      <c r="U238" s="342"/>
      <c r="V238" s="342"/>
      <c r="W238" s="342"/>
      <c r="X238" s="342"/>
      <c r="Y238" s="342"/>
      <c r="Z238" s="342"/>
      <c r="AA238" s="342"/>
      <c r="AB238" s="342"/>
      <c r="AC238" s="342"/>
      <c r="AD238" s="342"/>
      <c r="AE238" s="342"/>
      <c r="AF238" s="342"/>
      <c r="AG238" s="342"/>
      <c r="AH238" s="342"/>
      <c r="AI238" s="342"/>
      <c r="AJ238" s="342"/>
      <c r="AK238" s="342"/>
      <c r="AL238" s="342"/>
      <c r="AM238" s="342"/>
      <c r="AN238" s="342"/>
      <c r="AO238" s="342"/>
      <c r="AP238" s="342"/>
      <c r="AQ238" s="342"/>
      <c r="AR238" s="342"/>
      <c r="AS238" s="342"/>
      <c r="AT238" s="342"/>
      <c r="AU238" s="342"/>
      <c r="AV238" s="342"/>
      <c r="AW238" s="342"/>
      <c r="AX238" s="342"/>
      <c r="AY238" s="342"/>
      <c r="AZ238" s="342"/>
      <c r="BA238" s="342"/>
      <c r="BB238" s="342"/>
      <c r="BC238" s="342"/>
      <c r="BD238" s="342"/>
      <c r="BE238" s="342"/>
      <c r="BF238" s="342"/>
    </row>
    <row r="239" spans="3:312" ht="15" customHeight="1" x14ac:dyDescent="0.25">
      <c r="G239" s="78"/>
      <c r="H239" s="78"/>
      <c r="I239" s="78"/>
      <c r="J239" s="78"/>
      <c r="K239" s="78"/>
      <c r="L239" s="78"/>
      <c r="M239" s="78"/>
      <c r="N239" s="78"/>
      <c r="O239" s="78"/>
      <c r="P239" s="78"/>
      <c r="Q239" s="78"/>
      <c r="R239" s="78"/>
      <c r="S239" s="78"/>
      <c r="T239" s="78"/>
      <c r="U239" s="78"/>
      <c r="V239" s="78"/>
      <c r="W239" s="78"/>
      <c r="X239" s="78"/>
      <c r="Y239" s="78"/>
      <c r="Z239" s="78"/>
      <c r="AA239" s="78"/>
      <c r="AB239" s="78"/>
      <c r="AC239" s="78"/>
      <c r="AD239" s="78"/>
    </row>
    <row r="240" spans="3:312" ht="15" customHeight="1" x14ac:dyDescent="0.25">
      <c r="H240" s="12" t="s">
        <v>336</v>
      </c>
    </row>
    <row r="241" spans="6:56" ht="15" customHeight="1" x14ac:dyDescent="0.25">
      <c r="H241" s="850" t="str">
        <f>Sources!C5</f>
        <v>Année de la source</v>
      </c>
      <c r="I241" s="850"/>
      <c r="J241" s="850"/>
      <c r="K241" s="850"/>
      <c r="L241" s="850"/>
      <c r="M241" s="850"/>
      <c r="N241" s="14"/>
      <c r="O241" s="850" t="str">
        <f>Sources!J5</f>
        <v>Auteur</v>
      </c>
      <c r="P241" s="850"/>
      <c r="Q241" s="850"/>
      <c r="R241" s="850"/>
      <c r="S241" s="850"/>
      <c r="T241" s="850"/>
      <c r="U241" s="850"/>
      <c r="V241" s="850"/>
      <c r="W241" s="850"/>
      <c r="X241" s="850"/>
      <c r="Y241" s="850"/>
      <c r="Z241" s="850"/>
      <c r="AA241" s="850"/>
      <c r="AB241" s="850"/>
      <c r="AC241" s="14"/>
      <c r="AD241" s="850" t="str">
        <f>Sources!Y5</f>
        <v>Titre</v>
      </c>
      <c r="AE241" s="850"/>
      <c r="AF241" s="850"/>
      <c r="AG241" s="850"/>
      <c r="AH241" s="850"/>
      <c r="AI241" s="850"/>
      <c r="AJ241" s="850"/>
      <c r="AK241" s="850"/>
      <c r="AL241" s="850"/>
      <c r="AM241" s="850"/>
      <c r="AN241" s="850"/>
      <c r="AO241" s="850"/>
      <c r="AP241" s="850"/>
      <c r="AQ241" s="850"/>
      <c r="AR241" s="850"/>
      <c r="AS241" s="850"/>
      <c r="AT241" s="850"/>
      <c r="AU241" s="14"/>
      <c r="AV241" s="850" t="str">
        <f>Sources!AQ5</f>
        <v>Utilisées dans la section :</v>
      </c>
      <c r="AW241" s="850"/>
      <c r="AX241" s="850"/>
      <c r="AY241" s="850"/>
      <c r="AZ241" s="850"/>
      <c r="BA241" s="850"/>
      <c r="BB241" s="850"/>
      <c r="BC241" s="850"/>
      <c r="BD241" s="87"/>
    </row>
    <row r="242" spans="6:56" ht="15" customHeight="1" x14ac:dyDescent="0.25">
      <c r="H242" s="848"/>
      <c r="I242" s="848"/>
      <c r="J242" s="848"/>
      <c r="K242" s="848"/>
      <c r="L242" s="848"/>
      <c r="M242" s="848"/>
      <c r="N242" s="14"/>
      <c r="O242" s="849"/>
      <c r="P242" s="849"/>
      <c r="Q242" s="849"/>
      <c r="R242" s="849"/>
      <c r="S242" s="849"/>
      <c r="T242" s="849"/>
      <c r="U242" s="849"/>
      <c r="V242" s="849"/>
      <c r="W242" s="849"/>
      <c r="X242" s="849"/>
      <c r="Y242" s="849"/>
      <c r="Z242" s="849"/>
      <c r="AA242" s="849"/>
      <c r="AB242" s="849"/>
      <c r="AC242" s="14"/>
      <c r="AD242" s="849"/>
      <c r="AE242" s="849"/>
      <c r="AF242" s="849"/>
      <c r="AG242" s="849"/>
      <c r="AH242" s="849"/>
      <c r="AI242" s="849"/>
      <c r="AJ242" s="849"/>
      <c r="AK242" s="849"/>
      <c r="AL242" s="849"/>
      <c r="AM242" s="849"/>
      <c r="AN242" s="849"/>
      <c r="AO242" s="849"/>
      <c r="AP242" s="849"/>
      <c r="AQ242" s="849"/>
      <c r="AR242" s="849"/>
      <c r="AS242" s="849"/>
      <c r="AT242" s="849"/>
      <c r="AU242" s="14"/>
      <c r="AV242" s="849"/>
      <c r="AW242" s="849"/>
      <c r="AX242" s="849"/>
      <c r="AY242" s="849"/>
      <c r="AZ242" s="849"/>
      <c r="BA242" s="849"/>
      <c r="BB242" s="849"/>
      <c r="BC242" s="849"/>
    </row>
    <row r="243" spans="6:56" ht="15" customHeight="1" x14ac:dyDescent="0.25">
      <c r="H243" s="848"/>
      <c r="I243" s="848"/>
      <c r="J243" s="848"/>
      <c r="K243" s="848"/>
      <c r="L243" s="848"/>
      <c r="M243" s="848"/>
      <c r="N243" s="14"/>
      <c r="O243" s="849"/>
      <c r="P243" s="849"/>
      <c r="Q243" s="849"/>
      <c r="R243" s="849"/>
      <c r="S243" s="849"/>
      <c r="T243" s="849"/>
      <c r="U243" s="849"/>
      <c r="V243" s="849"/>
      <c r="W243" s="849"/>
      <c r="X243" s="849"/>
      <c r="Y243" s="849"/>
      <c r="Z243" s="849"/>
      <c r="AA243" s="849"/>
      <c r="AB243" s="849"/>
      <c r="AC243" s="14"/>
      <c r="AD243" s="849"/>
      <c r="AE243" s="849"/>
      <c r="AF243" s="849"/>
      <c r="AG243" s="849"/>
      <c r="AH243" s="849"/>
      <c r="AI243" s="849"/>
      <c r="AJ243" s="849"/>
      <c r="AK243" s="849"/>
      <c r="AL243" s="849"/>
      <c r="AM243" s="849"/>
      <c r="AN243" s="849"/>
      <c r="AO243" s="849"/>
      <c r="AP243" s="849"/>
      <c r="AQ243" s="849"/>
      <c r="AR243" s="849"/>
      <c r="AS243" s="849"/>
      <c r="AT243" s="849"/>
      <c r="AU243" s="14"/>
      <c r="AV243" s="849"/>
      <c r="AW243" s="849"/>
      <c r="AX243" s="849"/>
      <c r="AY243" s="849"/>
      <c r="AZ243" s="849"/>
      <c r="BA243" s="849"/>
      <c r="BB243" s="849"/>
      <c r="BC243" s="849"/>
    </row>
    <row r="244" spans="6:56" ht="15" customHeight="1" x14ac:dyDescent="0.25">
      <c r="H244" s="848"/>
      <c r="I244" s="848"/>
      <c r="J244" s="848"/>
      <c r="K244" s="848"/>
      <c r="L244" s="848"/>
      <c r="M244" s="848"/>
      <c r="N244" s="14"/>
      <c r="O244" s="849"/>
      <c r="P244" s="849"/>
      <c r="Q244" s="849"/>
      <c r="R244" s="849"/>
      <c r="S244" s="849"/>
      <c r="T244" s="849"/>
      <c r="U244" s="849"/>
      <c r="V244" s="849"/>
      <c r="W244" s="849"/>
      <c r="X244" s="849"/>
      <c r="Y244" s="849"/>
      <c r="Z244" s="849"/>
      <c r="AA244" s="849"/>
      <c r="AB244" s="849"/>
      <c r="AC244" s="14"/>
      <c r="AD244" s="849"/>
      <c r="AE244" s="849"/>
      <c r="AF244" s="849"/>
      <c r="AG244" s="849"/>
      <c r="AH244" s="849"/>
      <c r="AI244" s="849"/>
      <c r="AJ244" s="849"/>
      <c r="AK244" s="849"/>
      <c r="AL244" s="849"/>
      <c r="AM244" s="849"/>
      <c r="AN244" s="849"/>
      <c r="AO244" s="849"/>
      <c r="AP244" s="849"/>
      <c r="AQ244" s="849"/>
      <c r="AR244" s="849"/>
      <c r="AS244" s="849"/>
      <c r="AT244" s="849"/>
      <c r="AU244" s="14"/>
      <c r="AV244" s="849"/>
      <c r="AW244" s="849"/>
      <c r="AX244" s="849"/>
      <c r="AY244" s="849"/>
      <c r="AZ244" s="849"/>
      <c r="BA244" s="849"/>
      <c r="BB244" s="849"/>
      <c r="BC244" s="849"/>
    </row>
    <row r="245" spans="6:56" ht="15" customHeight="1" x14ac:dyDescent="0.25">
      <c r="H245" s="848"/>
      <c r="I245" s="848"/>
      <c r="J245" s="848"/>
      <c r="K245" s="848"/>
      <c r="L245" s="848"/>
      <c r="M245" s="848"/>
      <c r="N245" s="14"/>
      <c r="O245" s="849"/>
      <c r="P245" s="849"/>
      <c r="Q245" s="849"/>
      <c r="R245" s="849"/>
      <c r="S245" s="849"/>
      <c r="T245" s="849"/>
      <c r="U245" s="849"/>
      <c r="V245" s="849"/>
      <c r="W245" s="849"/>
      <c r="X245" s="849"/>
      <c r="Y245" s="849"/>
      <c r="Z245" s="849"/>
      <c r="AA245" s="849"/>
      <c r="AB245" s="849"/>
      <c r="AC245" s="14"/>
      <c r="AD245" s="849"/>
      <c r="AE245" s="849"/>
      <c r="AF245" s="849"/>
      <c r="AG245" s="849"/>
      <c r="AH245" s="849"/>
      <c r="AI245" s="849"/>
      <c r="AJ245" s="849"/>
      <c r="AK245" s="849"/>
      <c r="AL245" s="849"/>
      <c r="AM245" s="849"/>
      <c r="AN245" s="849"/>
      <c r="AO245" s="849"/>
      <c r="AP245" s="849"/>
      <c r="AQ245" s="849"/>
      <c r="AR245" s="849"/>
      <c r="AS245" s="849"/>
      <c r="AT245" s="849"/>
      <c r="AU245" s="14"/>
      <c r="AV245" s="849"/>
      <c r="AW245" s="849"/>
      <c r="AX245" s="849"/>
      <c r="AY245" s="849"/>
      <c r="AZ245" s="849"/>
      <c r="BA245" s="849"/>
      <c r="BB245" s="849"/>
      <c r="BC245" s="849"/>
    </row>
    <row r="246" spans="6:56" ht="15" customHeight="1" x14ac:dyDescent="0.25">
      <c r="H246" s="848"/>
      <c r="I246" s="848"/>
      <c r="J246" s="848"/>
      <c r="K246" s="848"/>
      <c r="L246" s="848"/>
      <c r="M246" s="848"/>
      <c r="N246" s="14"/>
      <c r="O246" s="849"/>
      <c r="P246" s="849"/>
      <c r="Q246" s="849"/>
      <c r="R246" s="849"/>
      <c r="S246" s="849"/>
      <c r="T246" s="849"/>
      <c r="U246" s="849"/>
      <c r="V246" s="849"/>
      <c r="W246" s="849"/>
      <c r="X246" s="849"/>
      <c r="Y246" s="849"/>
      <c r="Z246" s="849"/>
      <c r="AA246" s="849"/>
      <c r="AB246" s="849"/>
      <c r="AC246" s="14"/>
      <c r="AD246" s="849"/>
      <c r="AE246" s="849"/>
      <c r="AF246" s="849"/>
      <c r="AG246" s="849"/>
      <c r="AH246" s="849"/>
      <c r="AI246" s="849"/>
      <c r="AJ246" s="849"/>
      <c r="AK246" s="849"/>
      <c r="AL246" s="849"/>
      <c r="AM246" s="849"/>
      <c r="AN246" s="849"/>
      <c r="AO246" s="849"/>
      <c r="AP246" s="849"/>
      <c r="AQ246" s="849"/>
      <c r="AR246" s="849"/>
      <c r="AS246" s="849"/>
      <c r="AT246" s="849"/>
      <c r="AU246" s="14"/>
      <c r="AV246" s="849"/>
      <c r="AW246" s="849"/>
      <c r="AX246" s="849"/>
      <c r="AY246" s="849"/>
      <c r="AZ246" s="849"/>
      <c r="BA246" s="849"/>
      <c r="BB246" s="849"/>
      <c r="BC246" s="849"/>
    </row>
    <row r="247" spans="6:56" ht="15" customHeight="1" x14ac:dyDescent="0.25">
      <c r="H247" s="848"/>
      <c r="I247" s="848"/>
      <c r="J247" s="848"/>
      <c r="K247" s="848"/>
      <c r="L247" s="848"/>
      <c r="M247" s="848"/>
      <c r="N247" s="14"/>
      <c r="O247" s="849"/>
      <c r="P247" s="849"/>
      <c r="Q247" s="849"/>
      <c r="R247" s="849"/>
      <c r="S247" s="849"/>
      <c r="T247" s="849"/>
      <c r="U247" s="849"/>
      <c r="V247" s="849"/>
      <c r="W247" s="849"/>
      <c r="X247" s="849"/>
      <c r="Y247" s="849"/>
      <c r="Z247" s="849"/>
      <c r="AA247" s="849"/>
      <c r="AB247" s="849"/>
      <c r="AC247" s="14"/>
      <c r="AD247" s="849"/>
      <c r="AE247" s="849"/>
      <c r="AF247" s="849"/>
      <c r="AG247" s="849"/>
      <c r="AH247" s="849"/>
      <c r="AI247" s="849"/>
      <c r="AJ247" s="849"/>
      <c r="AK247" s="849"/>
      <c r="AL247" s="849"/>
      <c r="AM247" s="849"/>
      <c r="AN247" s="849"/>
      <c r="AO247" s="849"/>
      <c r="AP247" s="849"/>
      <c r="AQ247" s="849"/>
      <c r="AR247" s="849"/>
      <c r="AS247" s="849"/>
      <c r="AT247" s="849"/>
      <c r="AU247" s="14"/>
      <c r="AV247" s="849"/>
      <c r="AW247" s="849"/>
      <c r="AX247" s="849"/>
      <c r="AY247" s="849"/>
      <c r="AZ247" s="849"/>
      <c r="BA247" s="849"/>
      <c r="BB247" s="849"/>
      <c r="BC247" s="849"/>
    </row>
    <row r="248" spans="6:56" ht="15" customHeight="1" x14ac:dyDescent="0.25">
      <c r="H248" s="848"/>
      <c r="I248" s="848"/>
      <c r="J248" s="848"/>
      <c r="K248" s="848"/>
      <c r="L248" s="848"/>
      <c r="M248" s="848"/>
      <c r="N248" s="14"/>
      <c r="O248" s="849"/>
      <c r="P248" s="849"/>
      <c r="Q248" s="849"/>
      <c r="R248" s="849"/>
      <c r="S248" s="849"/>
      <c r="T248" s="849"/>
      <c r="U248" s="849"/>
      <c r="V248" s="849"/>
      <c r="W248" s="849"/>
      <c r="X248" s="849"/>
      <c r="Y248" s="849"/>
      <c r="Z248" s="849"/>
      <c r="AA248" s="849"/>
      <c r="AB248" s="849"/>
      <c r="AC248" s="14"/>
      <c r="AD248" s="849"/>
      <c r="AE248" s="849"/>
      <c r="AF248" s="849"/>
      <c r="AG248" s="849"/>
      <c r="AH248" s="849"/>
      <c r="AI248" s="849"/>
      <c r="AJ248" s="849"/>
      <c r="AK248" s="849"/>
      <c r="AL248" s="849"/>
      <c r="AM248" s="849"/>
      <c r="AN248" s="849"/>
      <c r="AO248" s="849"/>
      <c r="AP248" s="849"/>
      <c r="AQ248" s="849"/>
      <c r="AR248" s="849"/>
      <c r="AS248" s="849"/>
      <c r="AT248" s="849"/>
      <c r="AU248" s="14"/>
      <c r="AV248" s="849"/>
      <c r="AW248" s="849"/>
      <c r="AX248" s="849"/>
      <c r="AY248" s="849"/>
      <c r="AZ248" s="849"/>
      <c r="BA248" s="849"/>
      <c r="BB248" s="849"/>
      <c r="BC248" s="849"/>
    </row>
    <row r="249" spans="6:56" ht="15" customHeight="1" x14ac:dyDescent="0.25">
      <c r="H249" s="848"/>
      <c r="I249" s="848"/>
      <c r="J249" s="848"/>
      <c r="K249" s="848"/>
      <c r="L249" s="848"/>
      <c r="M249" s="848"/>
      <c r="N249" s="14"/>
      <c r="O249" s="849"/>
      <c r="P249" s="849"/>
      <c r="Q249" s="849"/>
      <c r="R249" s="849"/>
      <c r="S249" s="849"/>
      <c r="T249" s="849"/>
      <c r="U249" s="849"/>
      <c r="V249" s="849"/>
      <c r="W249" s="849"/>
      <c r="X249" s="849"/>
      <c r="Y249" s="849"/>
      <c r="Z249" s="849"/>
      <c r="AA249" s="849"/>
      <c r="AB249" s="849"/>
      <c r="AC249" s="14"/>
      <c r="AD249" s="849"/>
      <c r="AE249" s="849"/>
      <c r="AF249" s="849"/>
      <c r="AG249" s="849"/>
      <c r="AH249" s="849"/>
      <c r="AI249" s="849"/>
      <c r="AJ249" s="849"/>
      <c r="AK249" s="849"/>
      <c r="AL249" s="849"/>
      <c r="AM249" s="849"/>
      <c r="AN249" s="849"/>
      <c r="AO249" s="849"/>
      <c r="AP249" s="849"/>
      <c r="AQ249" s="849"/>
      <c r="AR249" s="849"/>
      <c r="AS249" s="849"/>
      <c r="AT249" s="849"/>
      <c r="AU249" s="14"/>
      <c r="AV249" s="849"/>
      <c r="AW249" s="849"/>
      <c r="AX249" s="849"/>
      <c r="AY249" s="849"/>
      <c r="AZ249" s="849"/>
      <c r="BA249" s="849"/>
      <c r="BB249" s="849"/>
      <c r="BC249" s="849"/>
    </row>
    <row r="250" spans="6:56" ht="15" customHeight="1" x14ac:dyDescent="0.25">
      <c r="H250" s="848"/>
      <c r="I250" s="848"/>
      <c r="J250" s="848"/>
      <c r="K250" s="848"/>
      <c r="L250" s="848"/>
      <c r="M250" s="848"/>
      <c r="N250" s="14"/>
      <c r="O250" s="849"/>
      <c r="P250" s="849"/>
      <c r="Q250" s="849"/>
      <c r="R250" s="849"/>
      <c r="S250" s="849"/>
      <c r="T250" s="849"/>
      <c r="U250" s="849"/>
      <c r="V250" s="849"/>
      <c r="W250" s="849"/>
      <c r="X250" s="849"/>
      <c r="Y250" s="849"/>
      <c r="Z250" s="849"/>
      <c r="AA250" s="849"/>
      <c r="AB250" s="849"/>
      <c r="AC250" s="14"/>
      <c r="AD250" s="849"/>
      <c r="AE250" s="849"/>
      <c r="AF250" s="849"/>
      <c r="AG250" s="849"/>
      <c r="AH250" s="849"/>
      <c r="AI250" s="849"/>
      <c r="AJ250" s="849"/>
      <c r="AK250" s="849"/>
      <c r="AL250" s="849"/>
      <c r="AM250" s="849"/>
      <c r="AN250" s="849"/>
      <c r="AO250" s="849"/>
      <c r="AP250" s="849"/>
      <c r="AQ250" s="849"/>
      <c r="AR250" s="849"/>
      <c r="AS250" s="849"/>
      <c r="AT250" s="849"/>
      <c r="AU250" s="14"/>
      <c r="AV250" s="849"/>
      <c r="AW250" s="849"/>
      <c r="AX250" s="849"/>
      <c r="AY250" s="849"/>
      <c r="AZ250" s="849"/>
      <c r="BA250" s="849"/>
      <c r="BB250" s="849"/>
      <c r="BC250" s="849"/>
    </row>
    <row r="251" spans="6:56" ht="15" customHeight="1" x14ac:dyDescent="0.25">
      <c r="H251" s="848"/>
      <c r="I251" s="848"/>
      <c r="J251" s="848"/>
      <c r="K251" s="848"/>
      <c r="L251" s="848"/>
      <c r="M251" s="848"/>
      <c r="N251" s="14"/>
      <c r="O251" s="849"/>
      <c r="P251" s="849"/>
      <c r="Q251" s="849"/>
      <c r="R251" s="849"/>
      <c r="S251" s="849"/>
      <c r="T251" s="849"/>
      <c r="U251" s="849"/>
      <c r="V251" s="849"/>
      <c r="W251" s="849"/>
      <c r="X251" s="849"/>
      <c r="Y251" s="849"/>
      <c r="Z251" s="849"/>
      <c r="AA251" s="849"/>
      <c r="AB251" s="849"/>
      <c r="AC251" s="14"/>
      <c r="AD251" s="849"/>
      <c r="AE251" s="849"/>
      <c r="AF251" s="849"/>
      <c r="AG251" s="849"/>
      <c r="AH251" s="849"/>
      <c r="AI251" s="849"/>
      <c r="AJ251" s="849"/>
      <c r="AK251" s="849"/>
      <c r="AL251" s="849"/>
      <c r="AM251" s="849"/>
      <c r="AN251" s="849"/>
      <c r="AO251" s="849"/>
      <c r="AP251" s="849"/>
      <c r="AQ251" s="849"/>
      <c r="AR251" s="849"/>
      <c r="AS251" s="849"/>
      <c r="AT251" s="849"/>
      <c r="AU251" s="14"/>
      <c r="AV251" s="849"/>
      <c r="AW251" s="849"/>
      <c r="AX251" s="849"/>
      <c r="AY251" s="849"/>
      <c r="AZ251" s="849"/>
      <c r="BA251" s="849"/>
      <c r="BB251" s="849"/>
      <c r="BC251" s="849"/>
    </row>
    <row r="253" spans="6:56" ht="15" customHeight="1" x14ac:dyDescent="0.25">
      <c r="F253" s="391"/>
    </row>
  </sheetData>
  <sheetProtection algorithmName="SHA-512" hashValue="Q5szk2Dokj2cJu2DMRe+LBHxkeMFiyGxBiRPyIlY9nunCs2Gc+D4RM2gK0Im3t9lUfN1RRBeCdAwbNDc02jo5w==" saltValue="bRCB/R1WR8ra6deSmLBWhw==" spinCount="100000" sheet="1" objects="1" scenarios="1"/>
  <mergeCells count="997">
    <mergeCell ref="I184:AA185"/>
    <mergeCell ref="AL25:BC32"/>
    <mergeCell ref="AL23:BC24"/>
    <mergeCell ref="CA220:CD220"/>
    <mergeCell ref="CA219:CD219"/>
    <mergeCell ref="CA179:CD179"/>
    <mergeCell ref="BS12:BY12"/>
    <mergeCell ref="CI12:CM12"/>
    <mergeCell ref="BM12:BQ12"/>
    <mergeCell ref="CA65:CD65"/>
    <mergeCell ref="BI178:CD178"/>
    <mergeCell ref="BH99:BL99"/>
    <mergeCell ref="BH98:BL98"/>
    <mergeCell ref="BH96:BL96"/>
    <mergeCell ref="BT95:BX95"/>
    <mergeCell ref="CA70:CD70"/>
    <mergeCell ref="CA61:CD61"/>
    <mergeCell ref="BV66:BY66"/>
    <mergeCell ref="BV42:BY42"/>
    <mergeCell ref="BI75:BM75"/>
    <mergeCell ref="BV36:BY36"/>
    <mergeCell ref="CA36:CD36"/>
    <mergeCell ref="BV24:BY24"/>
    <mergeCell ref="BQ70:BT70"/>
    <mergeCell ref="KS57:KV57"/>
    <mergeCell ref="KH54:KK54"/>
    <mergeCell ref="KH57:KK57"/>
    <mergeCell ref="KC54:KD54"/>
    <mergeCell ref="LC28:LF28"/>
    <mergeCell ref="LH28:LK28"/>
    <mergeCell ref="LC27:LK27"/>
    <mergeCell ref="KQ40:KY40"/>
    <mergeCell ref="KQ41:KT41"/>
    <mergeCell ref="KV41:KY41"/>
    <mergeCell ref="KR28:KU28"/>
    <mergeCell ref="KW28:KZ28"/>
    <mergeCell ref="KE33:KH33"/>
    <mergeCell ref="KE29:KH29"/>
    <mergeCell ref="KE32:KH32"/>
    <mergeCell ref="KE37:KH37"/>
    <mergeCell ref="KE38:KH38"/>
    <mergeCell ref="KJ38:KM38"/>
    <mergeCell ref="KJ33:KM33"/>
    <mergeCell ref="KJ32:KM32"/>
    <mergeCell ref="KJ29:KM29"/>
    <mergeCell ref="KV29:KY29"/>
    <mergeCell ref="KB35:KN35"/>
    <mergeCell ref="KQ29:KT29"/>
    <mergeCell ref="EV37:EY38"/>
    <mergeCell ref="DY36:EB36"/>
    <mergeCell ref="DO38:DR38"/>
    <mergeCell ref="DT38:DW38"/>
    <mergeCell ref="DY38:EB38"/>
    <mergeCell ref="EF37:EI37"/>
    <mergeCell ref="EP42:ES42"/>
    <mergeCell ref="DT42:DW42"/>
    <mergeCell ref="EK42:EN42"/>
    <mergeCell ref="EF42:EI42"/>
    <mergeCell ref="DY42:EB42"/>
    <mergeCell ref="EP39:ES39"/>
    <mergeCell ref="DT39:DW39"/>
    <mergeCell ref="DY40:EB40"/>
    <mergeCell ref="DY39:EB39"/>
    <mergeCell ref="DY37:EB37"/>
    <mergeCell ref="EF40:EI40"/>
    <mergeCell ref="DT40:DW40"/>
    <mergeCell ref="DO39:DR39"/>
    <mergeCell ref="KC24:KM24"/>
    <mergeCell ref="KJ41:KM41"/>
    <mergeCell ref="KE41:KH41"/>
    <mergeCell ref="KC59:KD59"/>
    <mergeCell ref="KC58:KD58"/>
    <mergeCell ref="KC57:KD57"/>
    <mergeCell ref="KC51:KM52"/>
    <mergeCell ref="KH56:KK56"/>
    <mergeCell ref="KH53:KK53"/>
    <mergeCell ref="KH59:KK59"/>
    <mergeCell ref="KH58:KK58"/>
    <mergeCell ref="KJ37:KM37"/>
    <mergeCell ref="AF67:BD68"/>
    <mergeCell ref="L66:S66"/>
    <mergeCell ref="M67:Y67"/>
    <mergeCell ref="AH57:AK57"/>
    <mergeCell ref="AH58:AK58"/>
    <mergeCell ref="AH59:AK59"/>
    <mergeCell ref="AH61:AK61"/>
    <mergeCell ref="AA67:AD67"/>
    <mergeCell ref="I61:P61"/>
    <mergeCell ref="Q61:T61"/>
    <mergeCell ref="K64:V64"/>
    <mergeCell ref="V59:Y59"/>
    <mergeCell ref="I58:P58"/>
    <mergeCell ref="AA61:AD61"/>
    <mergeCell ref="AO58:BD62"/>
    <mergeCell ref="I62:J62"/>
    <mergeCell ref="K62:AE62"/>
    <mergeCell ref="I57:P57"/>
    <mergeCell ref="Q57:T57"/>
    <mergeCell ref="V57:Y57"/>
    <mergeCell ref="I59:P59"/>
    <mergeCell ref="Q59:T59"/>
    <mergeCell ref="V61:Y61"/>
    <mergeCell ref="Q58:T58"/>
    <mergeCell ref="T69:V69"/>
    <mergeCell ref="P98:W98"/>
    <mergeCell ref="Y98:AC98"/>
    <mergeCell ref="Y97:AC97"/>
    <mergeCell ref="AI71:AK71"/>
    <mergeCell ref="V70:X70"/>
    <mergeCell ref="K74:AU75"/>
    <mergeCell ref="AM69:BD72"/>
    <mergeCell ref="AI72:AK72"/>
    <mergeCell ref="AV74:AX74"/>
    <mergeCell ref="I86:AW86"/>
    <mergeCell ref="I92:BE92"/>
    <mergeCell ref="DT205:DX205"/>
    <mergeCell ref="DG201:DV201"/>
    <mergeCell ref="DF204:DM204"/>
    <mergeCell ref="DN204:DQ204"/>
    <mergeCell ref="DT204:DX204"/>
    <mergeCell ref="BV67:BY67"/>
    <mergeCell ref="BQ67:BT67"/>
    <mergeCell ref="CV205:CZ205"/>
    <mergeCell ref="CG200:CK200"/>
    <mergeCell ref="CV204:CZ204"/>
    <mergeCell ref="CV203:CZ203"/>
    <mergeCell ref="CP204:CS204"/>
    <mergeCell ref="CH204:CO204"/>
    <mergeCell ref="BI161:CD161"/>
    <mergeCell ref="BX134:CB134"/>
    <mergeCell ref="BH103:BL103"/>
    <mergeCell ref="BH100:BL100"/>
    <mergeCell ref="BH101:BL101"/>
    <mergeCell ref="CP205:CS205"/>
    <mergeCell ref="CA146:CD146"/>
    <mergeCell ref="CP203:CS203"/>
    <mergeCell ref="CI201:CX201"/>
    <mergeCell ref="DN203:DQ203"/>
    <mergeCell ref="DT203:DX203"/>
    <mergeCell ref="DN205:DQ205"/>
    <mergeCell ref="BV55:BY55"/>
    <mergeCell ref="CA163:CD163"/>
    <mergeCell ref="BQ164:BT164"/>
    <mergeCell ref="CA164:CD164"/>
    <mergeCell ref="BV164:BY164"/>
    <mergeCell ref="BQ163:BT163"/>
    <mergeCell ref="BV163:BY163"/>
    <mergeCell ref="BV146:BY146"/>
    <mergeCell ref="BQ144:BT144"/>
    <mergeCell ref="BV144:BY144"/>
    <mergeCell ref="DF205:DM205"/>
    <mergeCell ref="BQ65:BT65"/>
    <mergeCell ref="BN97:BR97"/>
    <mergeCell ref="BQ61:BT61"/>
    <mergeCell ref="BV70:BY70"/>
    <mergeCell ref="BI66:BP66"/>
    <mergeCell ref="BQ145:BT145"/>
    <mergeCell ref="BI141:CD141"/>
    <mergeCell ref="BQ179:BT179"/>
    <mergeCell ref="BQ143:BT143"/>
    <mergeCell ref="CA145:CD145"/>
    <mergeCell ref="BQ131:BU131"/>
    <mergeCell ref="BX131:CB131"/>
    <mergeCell ref="CM61:CP61"/>
    <mergeCell ref="CG52:CJ52"/>
    <mergeCell ref="CA42:CD42"/>
    <mergeCell ref="BH121:BL121"/>
    <mergeCell ref="BT96:BX96"/>
    <mergeCell ref="BV59:BY59"/>
    <mergeCell ref="CA59:CD59"/>
    <mergeCell ref="BT103:BX103"/>
    <mergeCell ref="BT101:BX101"/>
    <mergeCell ref="BI42:BP42"/>
    <mergeCell ref="BQ42:BT42"/>
    <mergeCell ref="CH42:CO42"/>
    <mergeCell ref="BH97:BL97"/>
    <mergeCell ref="CG57:CJ57"/>
    <mergeCell ref="CG58:CJ58"/>
    <mergeCell ref="BV58:BY58"/>
    <mergeCell ref="CM57:CP57"/>
    <mergeCell ref="BV56:BY56"/>
    <mergeCell ref="CA56:CD56"/>
    <mergeCell ref="CA57:CD57"/>
    <mergeCell ref="CA58:CD58"/>
    <mergeCell ref="Q38:T38"/>
    <mergeCell ref="V38:Y38"/>
    <mergeCell ref="CZ40:DC40"/>
    <mergeCell ref="CZ42:DC42"/>
    <mergeCell ref="BQ55:BT55"/>
    <mergeCell ref="BI54:CC54"/>
    <mergeCell ref="BI40:BP40"/>
    <mergeCell ref="BQ40:BT40"/>
    <mergeCell ref="AA38:AD38"/>
    <mergeCell ref="BV40:BY40"/>
    <mergeCell ref="AA40:AD40"/>
    <mergeCell ref="CA38:CD38"/>
    <mergeCell ref="AH38:AO38"/>
    <mergeCell ref="CP42:CS42"/>
    <mergeCell ref="CG51:CJ51"/>
    <mergeCell ref="CG53:CJ53"/>
    <mergeCell ref="CM54:CP54"/>
    <mergeCell ref="BV39:BY39"/>
    <mergeCell ref="BI38:BP38"/>
    <mergeCell ref="BQ39:BT39"/>
    <mergeCell ref="CG55:CJ55"/>
    <mergeCell ref="CA55:CD55"/>
    <mergeCell ref="V58:Y58"/>
    <mergeCell ref="Q40:T40"/>
    <mergeCell ref="V40:Y40"/>
    <mergeCell ref="Q39:T39"/>
    <mergeCell ref="V39:Y39"/>
    <mergeCell ref="Q42:T42"/>
    <mergeCell ref="AJ45:BC45"/>
    <mergeCell ref="BQ66:BT66"/>
    <mergeCell ref="AP40:AS40"/>
    <mergeCell ref="BQ56:BT56"/>
    <mergeCell ref="BI58:BP58"/>
    <mergeCell ref="BQ59:BT59"/>
    <mergeCell ref="BI61:BP61"/>
    <mergeCell ref="T66:V66"/>
    <mergeCell ref="BI56:BP56"/>
    <mergeCell ref="BQ57:BT57"/>
    <mergeCell ref="AH37:AO37"/>
    <mergeCell ref="BQ38:BT38"/>
    <mergeCell ref="BV38:BY38"/>
    <mergeCell ref="CH39:CO39"/>
    <mergeCell ref="CP39:CS39"/>
    <mergeCell ref="CU39:CX39"/>
    <mergeCell ref="BI39:BP39"/>
    <mergeCell ref="BI37:BP37"/>
    <mergeCell ref="AP39:AS39"/>
    <mergeCell ref="CA37:CD37"/>
    <mergeCell ref="BQ37:BT37"/>
    <mergeCell ref="CH37:CO37"/>
    <mergeCell ref="BV37:BY37"/>
    <mergeCell ref="I40:P40"/>
    <mergeCell ref="I42:P42"/>
    <mergeCell ref="AH42:AO42"/>
    <mergeCell ref="AZ40:BC40"/>
    <mergeCell ref="AH40:AO40"/>
    <mergeCell ref="V56:Y56"/>
    <mergeCell ref="AU39:AX39"/>
    <mergeCell ref="AA39:AD39"/>
    <mergeCell ref="AH39:AO39"/>
    <mergeCell ref="I39:P39"/>
    <mergeCell ref="I43:J43"/>
    <mergeCell ref="AP42:AS42"/>
    <mergeCell ref="AU42:AX42"/>
    <mergeCell ref="AA56:AD56"/>
    <mergeCell ref="AO52:BD56"/>
    <mergeCell ref="AH56:AK56"/>
    <mergeCell ref="Q56:T56"/>
    <mergeCell ref="V42:Y42"/>
    <mergeCell ref="AA42:AD42"/>
    <mergeCell ref="AZ42:BC42"/>
    <mergeCell ref="K53:AB53"/>
    <mergeCell ref="AA55:AD55"/>
    <mergeCell ref="I56:P56"/>
    <mergeCell ref="ER17:EW17"/>
    <mergeCell ref="DV17:DY17"/>
    <mergeCell ref="AA59:AD59"/>
    <mergeCell ref="AA57:AD57"/>
    <mergeCell ref="AA58:AD58"/>
    <mergeCell ref="CT23:DA23"/>
    <mergeCell ref="BV23:BY23"/>
    <mergeCell ref="CL23:CO23"/>
    <mergeCell ref="CU37:CX37"/>
    <mergeCell ref="DB23:DE23"/>
    <mergeCell ref="CP37:CS37"/>
    <mergeCell ref="CA40:CD40"/>
    <mergeCell ref="BQ58:BT58"/>
    <mergeCell ref="CH40:CO40"/>
    <mergeCell ref="CP40:CS40"/>
    <mergeCell ref="CU40:CX40"/>
    <mergeCell ref="CU42:CX42"/>
    <mergeCell ref="BV57:BY57"/>
    <mergeCell ref="CM55:CQ55"/>
    <mergeCell ref="BI53:CC53"/>
    <mergeCell ref="CA39:CD39"/>
    <mergeCell ref="CF24:CI24"/>
    <mergeCell ref="AU38:AX38"/>
    <mergeCell ref="K43:AD43"/>
    <mergeCell ref="EQ18:ET18"/>
    <mergeCell ref="EV18:EY18"/>
    <mergeCell ref="EQ19:ET19"/>
    <mergeCell ref="EV19:EY19"/>
    <mergeCell ref="DB18:DE18"/>
    <mergeCell ref="DG18:DJ18"/>
    <mergeCell ref="DV18:DY18"/>
    <mergeCell ref="CL18:CO18"/>
    <mergeCell ref="DV19:DY19"/>
    <mergeCell ref="DB19:DE19"/>
    <mergeCell ref="CT19:DA19"/>
    <mergeCell ref="DQ18:DT18"/>
    <mergeCell ref="DQ19:DT19"/>
    <mergeCell ref="L9:Y9"/>
    <mergeCell ref="L16:Y16"/>
    <mergeCell ref="Z10:AD10"/>
    <mergeCell ref="Z15:AD15"/>
    <mergeCell ref="K14:AB14"/>
    <mergeCell ref="L12:Y12"/>
    <mergeCell ref="AA36:AD36"/>
    <mergeCell ref="AU37:AX37"/>
    <mergeCell ref="AJ34:BC34"/>
    <mergeCell ref="H26:AJ28"/>
    <mergeCell ref="K34:AD34"/>
    <mergeCell ref="Q36:T36"/>
    <mergeCell ref="V36:Y36"/>
    <mergeCell ref="AG31:AJ31"/>
    <mergeCell ref="AF30:AH30"/>
    <mergeCell ref="K32:AA32"/>
    <mergeCell ref="K30:AE30"/>
    <mergeCell ref="AB32:AJ32"/>
    <mergeCell ref="AP37:AS37"/>
    <mergeCell ref="I37:P37"/>
    <mergeCell ref="AU36:AX36"/>
    <mergeCell ref="AP36:AS36"/>
    <mergeCell ref="AZ36:BC36"/>
    <mergeCell ref="AZ37:BC37"/>
    <mergeCell ref="CE8:CM8"/>
    <mergeCell ref="AF15:AJ15"/>
    <mergeCell ref="BI19:BP19"/>
    <mergeCell ref="BM9:BQ9"/>
    <mergeCell ref="CE10:CH10"/>
    <mergeCell ref="BI9:BL9"/>
    <mergeCell ref="BI10:BL10"/>
    <mergeCell ref="BI11:BL11"/>
    <mergeCell ref="CI9:CM9"/>
    <mergeCell ref="CI10:CM10"/>
    <mergeCell ref="CI11:CM11"/>
    <mergeCell ref="BQ19:BT19"/>
    <mergeCell ref="CF19:CI19"/>
    <mergeCell ref="BQ18:BT18"/>
    <mergeCell ref="BV18:BY18"/>
    <mergeCell ref="CF18:CI18"/>
    <mergeCell ref="BS9:BY9"/>
    <mergeCell ref="BS10:BY10"/>
    <mergeCell ref="BS11:BY11"/>
    <mergeCell ref="CE9:CH9"/>
    <mergeCell ref="BM10:BQ10"/>
    <mergeCell ref="BM11:BQ11"/>
    <mergeCell ref="CE11:CH11"/>
    <mergeCell ref="CL17:CP17"/>
    <mergeCell ref="K7:AB7"/>
    <mergeCell ref="Z8:AD8"/>
    <mergeCell ref="L8:Y8"/>
    <mergeCell ref="AJ46:BC47"/>
    <mergeCell ref="AE44:AO44"/>
    <mergeCell ref="AP44:AS44"/>
    <mergeCell ref="AU44:AX44"/>
    <mergeCell ref="AZ44:BC44"/>
    <mergeCell ref="BI34:CD34"/>
    <mergeCell ref="BI35:CD35"/>
    <mergeCell ref="BQ36:BT36"/>
    <mergeCell ref="BQ20:BT20"/>
    <mergeCell ref="BQ23:BT23"/>
    <mergeCell ref="BV19:BY19"/>
    <mergeCell ref="BV20:BY20"/>
    <mergeCell ref="CA19:CD19"/>
    <mergeCell ref="CA20:CD20"/>
    <mergeCell ref="CA23:CD23"/>
    <mergeCell ref="Z16:AD16"/>
    <mergeCell ref="CA24:CD24"/>
    <mergeCell ref="BQ17:CI17"/>
    <mergeCell ref="BI16:CO16"/>
    <mergeCell ref="BI20:BP20"/>
    <mergeCell ref="BQ24:BT24"/>
    <mergeCell ref="AL7:AY7"/>
    <mergeCell ref="AL8:BD12"/>
    <mergeCell ref="AF16:AJ16"/>
    <mergeCell ref="AF17:AJ17"/>
    <mergeCell ref="Z17:AD17"/>
    <mergeCell ref="L17:Y17"/>
    <mergeCell ref="AG54:AL55"/>
    <mergeCell ref="Q55:T55"/>
    <mergeCell ref="V55:Y55"/>
    <mergeCell ref="L18:Y18"/>
    <mergeCell ref="Z18:AD18"/>
    <mergeCell ref="AF18:AJ18"/>
    <mergeCell ref="Z12:AD12"/>
    <mergeCell ref="Z9:AD9"/>
    <mergeCell ref="L15:Y15"/>
    <mergeCell ref="Z11:AD11"/>
    <mergeCell ref="L10:Y10"/>
    <mergeCell ref="I38:P38"/>
    <mergeCell ref="AP38:AS38"/>
    <mergeCell ref="AZ39:BC39"/>
    <mergeCell ref="AZ38:BC38"/>
    <mergeCell ref="Q37:T37"/>
    <mergeCell ref="V37:Y37"/>
    <mergeCell ref="AA37:AD37"/>
    <mergeCell ref="AO101:AQ101"/>
    <mergeCell ref="AO100:AQ100"/>
    <mergeCell ref="AO96:AQ96"/>
    <mergeCell ref="K77:R77"/>
    <mergeCell ref="J100:N100"/>
    <mergeCell ref="J101:N101"/>
    <mergeCell ref="J94:N95"/>
    <mergeCell ref="P96:W96"/>
    <mergeCell ref="P97:W97"/>
    <mergeCell ref="AK97:AM97"/>
    <mergeCell ref="K90:X90"/>
    <mergeCell ref="Y90:AA90"/>
    <mergeCell ref="AE94:AI95"/>
    <mergeCell ref="J96:N96"/>
    <mergeCell ref="AE98:AI98"/>
    <mergeCell ref="P101:W101"/>
    <mergeCell ref="J98:N98"/>
    <mergeCell ref="AE101:AI101"/>
    <mergeCell ref="AK100:AM100"/>
    <mergeCell ref="AK101:AM101"/>
    <mergeCell ref="L78:AL78"/>
    <mergeCell ref="L80:AO80"/>
    <mergeCell ref="K88:AB88"/>
    <mergeCell ref="AM78:AP78"/>
    <mergeCell ref="Q226:T226"/>
    <mergeCell ref="Q223:T223"/>
    <mergeCell ref="Q224:T224"/>
    <mergeCell ref="I222:P222"/>
    <mergeCell ref="AU226:AX226"/>
    <mergeCell ref="AH222:AO222"/>
    <mergeCell ref="AI223:AO223"/>
    <mergeCell ref="I227:J227"/>
    <mergeCell ref="K227:AD227"/>
    <mergeCell ref="V222:Y222"/>
    <mergeCell ref="V223:Y223"/>
    <mergeCell ref="V224:Y224"/>
    <mergeCell ref="AA222:AD222"/>
    <mergeCell ref="AA223:AD223"/>
    <mergeCell ref="V226:Y226"/>
    <mergeCell ref="AA226:AD226"/>
    <mergeCell ref="AH226:AO226"/>
    <mergeCell ref="AP226:AS226"/>
    <mergeCell ref="AZ224:BC224"/>
    <mergeCell ref="Q222:T222"/>
    <mergeCell ref="J223:P223"/>
    <mergeCell ref="J224:P224"/>
    <mergeCell ref="AP224:AS224"/>
    <mergeCell ref="AU222:AX222"/>
    <mergeCell ref="AP223:AS223"/>
    <mergeCell ref="AU223:AX223"/>
    <mergeCell ref="AU224:AX224"/>
    <mergeCell ref="AA224:AD224"/>
    <mergeCell ref="AP222:AS222"/>
    <mergeCell ref="H251:M251"/>
    <mergeCell ref="O251:AB251"/>
    <mergeCell ref="AD251:AT251"/>
    <mergeCell ref="AV251:BC251"/>
    <mergeCell ref="H250:M250"/>
    <mergeCell ref="O250:AB250"/>
    <mergeCell ref="AD250:AT250"/>
    <mergeCell ref="AV250:BC250"/>
    <mergeCell ref="H245:M245"/>
    <mergeCell ref="O245:AB245"/>
    <mergeCell ref="AD245:AT245"/>
    <mergeCell ref="AV245:BC245"/>
    <mergeCell ref="H247:M247"/>
    <mergeCell ref="O247:AB247"/>
    <mergeCell ref="AD247:AT247"/>
    <mergeCell ref="AV247:BC247"/>
    <mergeCell ref="H249:M249"/>
    <mergeCell ref="O249:AB249"/>
    <mergeCell ref="AD249:AT249"/>
    <mergeCell ref="AV249:BC249"/>
    <mergeCell ref="H248:M248"/>
    <mergeCell ref="O248:AB248"/>
    <mergeCell ref="AD248:AT248"/>
    <mergeCell ref="AV248:BC248"/>
    <mergeCell ref="H246:M246"/>
    <mergeCell ref="O246:AB246"/>
    <mergeCell ref="AD246:AT246"/>
    <mergeCell ref="AV246:BC246"/>
    <mergeCell ref="AD241:AT241"/>
    <mergeCell ref="AV241:BC241"/>
    <mergeCell ref="H243:M243"/>
    <mergeCell ref="O243:AB243"/>
    <mergeCell ref="AD243:AT243"/>
    <mergeCell ref="AV243:BC243"/>
    <mergeCell ref="H241:M241"/>
    <mergeCell ref="O241:AB241"/>
    <mergeCell ref="H242:M242"/>
    <mergeCell ref="O242:AB242"/>
    <mergeCell ref="AD242:AT242"/>
    <mergeCell ref="AV242:BC242"/>
    <mergeCell ref="H244:M244"/>
    <mergeCell ref="O244:AB244"/>
    <mergeCell ref="AD244:AT244"/>
    <mergeCell ref="AV244:BC244"/>
    <mergeCell ref="AE232:AH232"/>
    <mergeCell ref="AE228:AO228"/>
    <mergeCell ref="AP228:AS228"/>
    <mergeCell ref="AU228:AX228"/>
    <mergeCell ref="AZ228:BC228"/>
    <mergeCell ref="AJ229:BC229"/>
    <mergeCell ref="AJ230:BC231"/>
    <mergeCell ref="I235:BC236"/>
    <mergeCell ref="K232:AD232"/>
    <mergeCell ref="AZ226:BC226"/>
    <mergeCell ref="I226:P226"/>
    <mergeCell ref="AI224:AO224"/>
    <mergeCell ref="AZ222:BC222"/>
    <mergeCell ref="AZ223:BC223"/>
    <mergeCell ref="J121:N121"/>
    <mergeCell ref="BN98:BR98"/>
    <mergeCell ref="AE97:AI97"/>
    <mergeCell ref="AO94:AQ95"/>
    <mergeCell ref="AK96:AM96"/>
    <mergeCell ref="J97:N97"/>
    <mergeCell ref="AK98:AM98"/>
    <mergeCell ref="AO98:AQ98"/>
    <mergeCell ref="AO99:AQ99"/>
    <mergeCell ref="AE96:AI96"/>
    <mergeCell ref="Y99:AC99"/>
    <mergeCell ref="Y94:AC95"/>
    <mergeCell ref="P94:W95"/>
    <mergeCell ref="AO97:AQ97"/>
    <mergeCell ref="J99:N99"/>
    <mergeCell ref="P99:W99"/>
    <mergeCell ref="AE99:AI99"/>
    <mergeCell ref="AK94:AM95"/>
    <mergeCell ref="Y96:AC96"/>
    <mergeCell ref="DG42:DN42"/>
    <mergeCell ref="DO42:DR42"/>
    <mergeCell ref="EV24:EY24"/>
    <mergeCell ref="CH34:DC34"/>
    <mergeCell ref="CH35:DC35"/>
    <mergeCell ref="CP36:CS36"/>
    <mergeCell ref="DO36:DR36"/>
    <mergeCell ref="DB24:DE24"/>
    <mergeCell ref="ED24:EK24"/>
    <mergeCell ref="EL24:EO24"/>
    <mergeCell ref="EQ24:ET24"/>
    <mergeCell ref="DG24:DJ24"/>
    <mergeCell ref="CL24:CO24"/>
    <mergeCell ref="DL24:DO24"/>
    <mergeCell ref="CT24:DA24"/>
    <mergeCell ref="CU36:CX36"/>
    <mergeCell ref="CZ36:DC36"/>
    <mergeCell ref="EK36:EN36"/>
    <mergeCell ref="EP36:ES36"/>
    <mergeCell ref="EF35:ES35"/>
    <mergeCell ref="DT36:DW36"/>
    <mergeCell ref="EV36:EY36"/>
    <mergeCell ref="EF36:EI36"/>
    <mergeCell ref="EP37:ES37"/>
    <mergeCell ref="FF18:FI18"/>
    <mergeCell ref="FF19:FI19"/>
    <mergeCell ref="FF20:FI20"/>
    <mergeCell ref="FF23:FI23"/>
    <mergeCell ref="FF24:FI24"/>
    <mergeCell ref="DG19:DJ19"/>
    <mergeCell ref="DL19:DO19"/>
    <mergeCell ref="DL18:DO18"/>
    <mergeCell ref="FA18:FD18"/>
    <mergeCell ref="FA19:FD19"/>
    <mergeCell ref="FA20:FD20"/>
    <mergeCell ref="FA23:FD23"/>
    <mergeCell ref="FA24:FD24"/>
    <mergeCell ref="EV20:EY20"/>
    <mergeCell ref="DG20:DJ20"/>
    <mergeCell ref="DL20:DO20"/>
    <mergeCell ref="ED23:EK23"/>
    <mergeCell ref="EL23:EO23"/>
    <mergeCell ref="EQ23:ET23"/>
    <mergeCell ref="EV23:EY23"/>
    <mergeCell ref="ED20:EK20"/>
    <mergeCell ref="EL20:EO20"/>
    <mergeCell ref="ED19:EK19"/>
    <mergeCell ref="EL19:EO19"/>
    <mergeCell ref="EQ20:ET20"/>
    <mergeCell ref="DG23:DJ23"/>
    <mergeCell ref="AZ148:BC148"/>
    <mergeCell ref="AK99:AM99"/>
    <mergeCell ref="AE120:AI120"/>
    <mergeCell ref="Y120:AC120"/>
    <mergeCell ref="Y118:AC118"/>
    <mergeCell ref="AC123:AE123"/>
    <mergeCell ref="K145:AB145"/>
    <mergeCell ref="K131:AB131"/>
    <mergeCell ref="AP144:AS144"/>
    <mergeCell ref="AP145:AS145"/>
    <mergeCell ref="Y101:AC101"/>
    <mergeCell ref="AZ143:BC143"/>
    <mergeCell ref="P121:W121"/>
    <mergeCell ref="Y121:AC121"/>
    <mergeCell ref="AE121:AI121"/>
    <mergeCell ref="Y100:AC100"/>
    <mergeCell ref="P100:W100"/>
    <mergeCell ref="AE100:AI100"/>
    <mergeCell ref="AC110:AE110"/>
    <mergeCell ref="AO121:AQ121"/>
    <mergeCell ref="AK121:AM121"/>
    <mergeCell ref="AK116:AM116"/>
    <mergeCell ref="J114:N115"/>
    <mergeCell ref="L103:AD104"/>
    <mergeCell ref="AK117:AM117"/>
    <mergeCell ref="AO117:AQ117"/>
    <mergeCell ref="AE116:AI116"/>
    <mergeCell ref="P114:W115"/>
    <mergeCell ref="L106:AO106"/>
    <mergeCell ref="AE114:AI115"/>
    <mergeCell ref="Y114:AC115"/>
    <mergeCell ref="AE103:AG103"/>
    <mergeCell ref="AO114:AQ115"/>
    <mergeCell ref="AK114:AM115"/>
    <mergeCell ref="J116:N116"/>
    <mergeCell ref="Y116:AC116"/>
    <mergeCell ref="P116:W116"/>
    <mergeCell ref="Y117:AC117"/>
    <mergeCell ref="K108:AB108"/>
    <mergeCell ref="AE117:AI117"/>
    <mergeCell ref="P117:W117"/>
    <mergeCell ref="AO116:AQ116"/>
    <mergeCell ref="I112:BE112"/>
    <mergeCell ref="AK120:AM120"/>
    <mergeCell ref="AK119:AM119"/>
    <mergeCell ref="BH119:BL119"/>
    <mergeCell ref="J119:N119"/>
    <mergeCell ref="J117:N117"/>
    <mergeCell ref="P119:W119"/>
    <mergeCell ref="AK118:AM118"/>
    <mergeCell ref="AO118:AQ118"/>
    <mergeCell ref="BH117:BL117"/>
    <mergeCell ref="AZ144:BC144"/>
    <mergeCell ref="AZ145:BC145"/>
    <mergeCell ref="K128:AP129"/>
    <mergeCell ref="L126:AO126"/>
    <mergeCell ref="L123:AB124"/>
    <mergeCell ref="BH116:BL116"/>
    <mergeCell ref="J120:N120"/>
    <mergeCell ref="AO120:AQ120"/>
    <mergeCell ref="P120:W120"/>
    <mergeCell ref="AE119:AI119"/>
    <mergeCell ref="BI145:BP145"/>
    <mergeCell ref="J118:N118"/>
    <mergeCell ref="K141:AD141"/>
    <mergeCell ref="K137:AB137"/>
    <mergeCell ref="K139:AA139"/>
    <mergeCell ref="M134:X134"/>
    <mergeCell ref="M135:S135"/>
    <mergeCell ref="AV133:AX133"/>
    <mergeCell ref="Z134:AC134"/>
    <mergeCell ref="AJ141:BC141"/>
    <mergeCell ref="P118:W118"/>
    <mergeCell ref="Y119:AC119"/>
    <mergeCell ref="AE118:AI118"/>
    <mergeCell ref="AO119:AQ119"/>
    <mergeCell ref="S147:V147"/>
    <mergeCell ref="X147:AA147"/>
    <mergeCell ref="AK145:AN145"/>
    <mergeCell ref="AK144:AN144"/>
    <mergeCell ref="AU148:AX148"/>
    <mergeCell ref="I168:AA169"/>
    <mergeCell ref="AB168:AD169"/>
    <mergeCell ref="AP146:AS146"/>
    <mergeCell ref="AK146:AN146"/>
    <mergeCell ref="AU145:AX145"/>
    <mergeCell ref="AZ146:BC146"/>
    <mergeCell ref="AB139:AJ139"/>
    <mergeCell ref="L133:AU133"/>
    <mergeCell ref="U135:Y135"/>
    <mergeCell ref="AL136:BD139"/>
    <mergeCell ref="AU143:AX143"/>
    <mergeCell ref="AP143:AS143"/>
    <mergeCell ref="K177:AD177"/>
    <mergeCell ref="AJ177:BC177"/>
    <mergeCell ref="AJ167:BC167"/>
    <mergeCell ref="AJ168:BC169"/>
    <mergeCell ref="AE166:AO166"/>
    <mergeCell ref="AP166:AS166"/>
    <mergeCell ref="AU166:AX166"/>
    <mergeCell ref="AZ166:BC166"/>
    <mergeCell ref="X148:AA148"/>
    <mergeCell ref="AC148:AF148"/>
    <mergeCell ref="I148:R148"/>
    <mergeCell ref="K175:AA175"/>
    <mergeCell ref="AP148:AS148"/>
    <mergeCell ref="AU144:AX144"/>
    <mergeCell ref="I165:J165"/>
    <mergeCell ref="I164:P164"/>
    <mergeCell ref="Q164:T164"/>
    <mergeCell ref="Q179:T179"/>
    <mergeCell ref="AA179:AD179"/>
    <mergeCell ref="I149:J149"/>
    <mergeCell ref="K149:AD149"/>
    <mergeCell ref="V163:Y163"/>
    <mergeCell ref="AJ151:BC151"/>
    <mergeCell ref="AJ152:BC153"/>
    <mergeCell ref="K159:AA159"/>
    <mergeCell ref="AU150:AX150"/>
    <mergeCell ref="AE150:AO150"/>
    <mergeCell ref="AB175:AJ175"/>
    <mergeCell ref="AP150:AS150"/>
    <mergeCell ref="AZ150:BC150"/>
    <mergeCell ref="AU164:AX164"/>
    <mergeCell ref="AP163:AS163"/>
    <mergeCell ref="AU163:AX163"/>
    <mergeCell ref="AZ164:BC164"/>
    <mergeCell ref="AP164:AS164"/>
    <mergeCell ref="AM172:BE175"/>
    <mergeCell ref="AZ163:BC163"/>
    <mergeCell ref="V164:Y164"/>
    <mergeCell ref="AB159:AJ159"/>
    <mergeCell ref="L215:AB215"/>
    <mergeCell ref="L218:AE218"/>
    <mergeCell ref="BI217:CD217"/>
    <mergeCell ref="BV219:BY219"/>
    <mergeCell ref="BI192:BL192"/>
    <mergeCell ref="BI193:BL193"/>
    <mergeCell ref="L196:BA196"/>
    <mergeCell ref="I180:P180"/>
    <mergeCell ref="Q180:T180"/>
    <mergeCell ref="BV204:BY204"/>
    <mergeCell ref="AV204:AY204"/>
    <mergeCell ref="BI204:BT204"/>
    <mergeCell ref="AH204:AU204"/>
    <mergeCell ref="CC210:CK210"/>
    <mergeCell ref="CH212:CK212"/>
    <mergeCell ref="BU211:BX211"/>
    <mergeCell ref="CH205:CO205"/>
    <mergeCell ref="AJ218:BC218"/>
    <mergeCell ref="AH207:AO207"/>
    <mergeCell ref="BI211:BM211"/>
    <mergeCell ref="BP211:BT211"/>
    <mergeCell ref="BP213:BT213"/>
    <mergeCell ref="BP212:BT212"/>
    <mergeCell ref="BU214:BX214"/>
    <mergeCell ref="BI225:BP225"/>
    <mergeCell ref="CC212:CG212"/>
    <mergeCell ref="BJ222:BP222"/>
    <mergeCell ref="BJ223:BP223"/>
    <mergeCell ref="CA221:CD221"/>
    <mergeCell ref="CA222:CD222"/>
    <mergeCell ref="CA223:CD223"/>
    <mergeCell ref="BV222:BY222"/>
    <mergeCell ref="BV223:BY223"/>
    <mergeCell ref="BV221:BY221"/>
    <mergeCell ref="BI220:BP220"/>
    <mergeCell ref="CC213:CG213"/>
    <mergeCell ref="BU212:BX212"/>
    <mergeCell ref="BQ220:BT220"/>
    <mergeCell ref="CA225:CD225"/>
    <mergeCell ref="BQ225:BT225"/>
    <mergeCell ref="BV225:BY225"/>
    <mergeCell ref="BQ221:BT221"/>
    <mergeCell ref="BQ222:BT222"/>
    <mergeCell ref="BQ223:BT223"/>
    <mergeCell ref="BI213:BM213"/>
    <mergeCell ref="BI221:BP221"/>
    <mergeCell ref="BV220:BY220"/>
    <mergeCell ref="BI218:CD218"/>
    <mergeCell ref="BI207:BP207"/>
    <mergeCell ref="BI205:BT205"/>
    <mergeCell ref="BV179:BY179"/>
    <mergeCell ref="V179:Y179"/>
    <mergeCell ref="AV209:AY209"/>
    <mergeCell ref="AV207:AY207"/>
    <mergeCell ref="AJ210:BC210"/>
    <mergeCell ref="AJ211:BC212"/>
    <mergeCell ref="I204:V204"/>
    <mergeCell ref="AM199:AU199"/>
    <mergeCell ref="AH205:AU205"/>
    <mergeCell ref="AV205:AY205"/>
    <mergeCell ref="I205:V205"/>
    <mergeCell ref="AG209:AQ209"/>
    <mergeCell ref="AJ184:BC185"/>
    <mergeCell ref="I207:P207"/>
    <mergeCell ref="I208:J208"/>
    <mergeCell ref="AE182:AO182"/>
    <mergeCell ref="AP182:AS182"/>
    <mergeCell ref="AU182:AX182"/>
    <mergeCell ref="AZ182:BC182"/>
    <mergeCell ref="BV203:BY203"/>
    <mergeCell ref="L198:AK199"/>
    <mergeCell ref="I181:J181"/>
    <mergeCell ref="BU213:BX213"/>
    <mergeCell ref="K213:AA213"/>
    <mergeCell ref="K208:AD208"/>
    <mergeCell ref="W207:Z207"/>
    <mergeCell ref="AU179:AX179"/>
    <mergeCell ref="AC215:AK215"/>
    <mergeCell ref="AJ183:BC183"/>
    <mergeCell ref="K191:AO191"/>
    <mergeCell ref="L193:AU194"/>
    <mergeCell ref="AV194:AX194"/>
    <mergeCell ref="K181:AD181"/>
    <mergeCell ref="BV205:BY205"/>
    <mergeCell ref="BI201:CD201"/>
    <mergeCell ref="BI202:CD202"/>
    <mergeCell ref="BI180:BP180"/>
    <mergeCell ref="BQ180:BT180"/>
    <mergeCell ref="BV180:BY180"/>
    <mergeCell ref="CA180:CD180"/>
    <mergeCell ref="W205:Z205"/>
    <mergeCell ref="AJ201:BC201"/>
    <mergeCell ref="W203:Z203"/>
    <mergeCell ref="AV203:AY203"/>
    <mergeCell ref="W204:Z204"/>
    <mergeCell ref="BP210:BX210"/>
    <mergeCell ref="BQ219:BT219"/>
    <mergeCell ref="I221:P221"/>
    <mergeCell ref="Q221:T221"/>
    <mergeCell ref="V221:Y221"/>
    <mergeCell ref="AA221:AD221"/>
    <mergeCell ref="AH221:AO221"/>
    <mergeCell ref="AP221:AS221"/>
    <mergeCell ref="AU220:AX220"/>
    <mergeCell ref="AU221:AX221"/>
    <mergeCell ref="Q220:T220"/>
    <mergeCell ref="V220:Y220"/>
    <mergeCell ref="AA220:AD220"/>
    <mergeCell ref="AP220:AS220"/>
    <mergeCell ref="AZ221:BC221"/>
    <mergeCell ref="AZ220:BC220"/>
    <mergeCell ref="CH211:CK211"/>
    <mergeCell ref="CH213:CK213"/>
    <mergeCell ref="CC214:CG214"/>
    <mergeCell ref="BH120:BL120"/>
    <mergeCell ref="BN101:BR101"/>
    <mergeCell ref="BT97:BX97"/>
    <mergeCell ref="BT98:BX98"/>
    <mergeCell ref="BI162:CD162"/>
    <mergeCell ref="BH123:BL123"/>
    <mergeCell ref="BN123:BR123"/>
    <mergeCell ref="BT123:BX123"/>
    <mergeCell ref="CH214:CK214"/>
    <mergeCell ref="BP214:BT214"/>
    <mergeCell ref="BT119:BX119"/>
    <mergeCell ref="BN121:BR121"/>
    <mergeCell ref="BT121:BX121"/>
    <mergeCell ref="BT120:BX120"/>
    <mergeCell ref="BH118:BL118"/>
    <mergeCell ref="BQ148:BT148"/>
    <mergeCell ref="BV148:BY148"/>
    <mergeCell ref="CA144:CD144"/>
    <mergeCell ref="CC211:CG211"/>
    <mergeCell ref="BQ146:BT146"/>
    <mergeCell ref="CA148:CD148"/>
    <mergeCell ref="CN211:CR211"/>
    <mergeCell ref="CN213:CR213"/>
    <mergeCell ref="CN210:CR210"/>
    <mergeCell ref="CM58:CP58"/>
    <mergeCell ref="CM59:CP59"/>
    <mergeCell ref="BI142:CD142"/>
    <mergeCell ref="CA67:CD67"/>
    <mergeCell ref="BV68:BY68"/>
    <mergeCell ref="BQ68:BT68"/>
    <mergeCell ref="CA68:CD68"/>
    <mergeCell ref="BN99:BR99"/>
    <mergeCell ref="BN96:BR96"/>
    <mergeCell ref="BN95:BR95"/>
    <mergeCell ref="BN94:BR94"/>
    <mergeCell ref="BI134:BP134"/>
    <mergeCell ref="BQ134:BU134"/>
    <mergeCell ref="BI74:BM74"/>
    <mergeCell ref="BT117:BX117"/>
    <mergeCell ref="BV64:BY64"/>
    <mergeCell ref="BT94:BX94"/>
    <mergeCell ref="BN103:BR103"/>
    <mergeCell ref="BI59:BP59"/>
    <mergeCell ref="BV207:BY207"/>
    <mergeCell ref="BI194:BL194"/>
    <mergeCell ref="L201:AD201"/>
    <mergeCell ref="Q163:T163"/>
    <mergeCell ref="AA164:AD164"/>
    <mergeCell ref="AZ179:BC179"/>
    <mergeCell ref="BI146:BP146"/>
    <mergeCell ref="AK148:AN148"/>
    <mergeCell ref="BI148:BP148"/>
    <mergeCell ref="AH164:AO164"/>
    <mergeCell ref="AC147:AF147"/>
    <mergeCell ref="AU146:AX146"/>
    <mergeCell ref="K161:AD161"/>
    <mergeCell ref="AJ161:BC161"/>
    <mergeCell ref="AH180:AO180"/>
    <mergeCell ref="AP180:AS180"/>
    <mergeCell ref="V180:Y180"/>
    <mergeCell ref="AP179:AS179"/>
    <mergeCell ref="K165:AD165"/>
    <mergeCell ref="AA163:AD163"/>
    <mergeCell ref="AA180:AD180"/>
    <mergeCell ref="AU180:AX180"/>
    <mergeCell ref="AZ180:BC180"/>
    <mergeCell ref="BI164:BP164"/>
    <mergeCell ref="BI177:CD177"/>
    <mergeCell ref="S148:V148"/>
    <mergeCell ref="BX132:CB132"/>
    <mergeCell ref="BQ133:BU133"/>
    <mergeCell ref="BT116:BX116"/>
    <mergeCell ref="CA143:CD143"/>
    <mergeCell ref="BX133:CB133"/>
    <mergeCell ref="BV145:BY145"/>
    <mergeCell ref="BN114:BR114"/>
    <mergeCell ref="BT114:BX114"/>
    <mergeCell ref="BN115:BR115"/>
    <mergeCell ref="BT115:BX115"/>
    <mergeCell ref="BN118:BR118"/>
    <mergeCell ref="BN116:BR116"/>
    <mergeCell ref="BQ132:BU132"/>
    <mergeCell ref="BV143:BY143"/>
    <mergeCell ref="BN120:BR120"/>
    <mergeCell ref="BT118:BX118"/>
    <mergeCell ref="BN117:BR117"/>
    <mergeCell ref="KH180:KK180"/>
    <mergeCell ref="KS180:KV180"/>
    <mergeCell ref="KH223:KK223"/>
    <mergeCell ref="KS223:KV223"/>
    <mergeCell ref="KH224:KK224"/>
    <mergeCell ref="KS224:KV224"/>
    <mergeCell ref="KH220:KK220"/>
    <mergeCell ref="KS220:KV220"/>
    <mergeCell ref="KH221:KK221"/>
    <mergeCell ref="KS221:KV221"/>
    <mergeCell ref="KH216:KK216"/>
    <mergeCell ref="KH217:KK217"/>
    <mergeCell ref="KQ219:KY219"/>
    <mergeCell ref="KQ178:KY178"/>
    <mergeCell ref="KH179:KK179"/>
    <mergeCell ref="KS179:KV179"/>
    <mergeCell ref="KJ45:KM45"/>
    <mergeCell ref="KJ44:KM44"/>
    <mergeCell ref="KJ43:KM43"/>
    <mergeCell ref="KJ42:KM42"/>
    <mergeCell ref="KQ44:KT44"/>
    <mergeCell ref="KV44:KY44"/>
    <mergeCell ref="KQ45:KT45"/>
    <mergeCell ref="KV45:KY45"/>
    <mergeCell ref="KQ42:KT42"/>
    <mergeCell ref="KV42:KY42"/>
    <mergeCell ref="KQ43:KT43"/>
    <mergeCell ref="KV43:KY43"/>
    <mergeCell ref="KE45:KH45"/>
    <mergeCell ref="KE44:KH44"/>
    <mergeCell ref="KE43:KH43"/>
    <mergeCell ref="KE42:KH42"/>
    <mergeCell ref="KH175:KK175"/>
    <mergeCell ref="KH176:KK176"/>
    <mergeCell ref="KS58:KV58"/>
    <mergeCell ref="KS59:KV59"/>
    <mergeCell ref="KQ54:KY56"/>
    <mergeCell ref="DG38:DN38"/>
    <mergeCell ref="EP40:ES40"/>
    <mergeCell ref="DG37:DN37"/>
    <mergeCell ref="EF38:EI38"/>
    <mergeCell ref="EK38:EN38"/>
    <mergeCell ref="EP38:ES38"/>
    <mergeCell ref="DT37:DW37"/>
    <mergeCell ref="DO40:DR40"/>
    <mergeCell ref="DG40:DN40"/>
    <mergeCell ref="DC16:DY16"/>
    <mergeCell ref="DB17:DT17"/>
    <mergeCell ref="DV23:DY23"/>
    <mergeCell ref="DV24:DY24"/>
    <mergeCell ref="CL20:CO20"/>
    <mergeCell ref="DB20:DE20"/>
    <mergeCell ref="DL23:DO23"/>
    <mergeCell ref="DV20:DY20"/>
    <mergeCell ref="EK40:EN40"/>
    <mergeCell ref="DG34:EB34"/>
    <mergeCell ref="DG35:EB35"/>
    <mergeCell ref="CL19:CO19"/>
    <mergeCell ref="EL18:EO18"/>
    <mergeCell ref="CP38:CS38"/>
    <mergeCell ref="CU38:CX38"/>
    <mergeCell ref="CH38:CO38"/>
    <mergeCell ref="EF39:EI39"/>
    <mergeCell ref="EK39:EN39"/>
    <mergeCell ref="EK37:EN37"/>
    <mergeCell ref="CZ37:DC37"/>
    <mergeCell ref="CZ39:DC39"/>
    <mergeCell ref="CZ38:DC38"/>
    <mergeCell ref="DG39:DN39"/>
    <mergeCell ref="DO37:DR37"/>
    <mergeCell ref="AM213:BE216"/>
    <mergeCell ref="CF23:CI23"/>
    <mergeCell ref="BI24:BP24"/>
    <mergeCell ref="CT20:DA20"/>
    <mergeCell ref="CF20:CI20"/>
    <mergeCell ref="BI23:BP23"/>
    <mergeCell ref="DQ20:DT20"/>
    <mergeCell ref="DQ23:DT23"/>
    <mergeCell ref="DQ24:DT24"/>
    <mergeCell ref="AU40:AX40"/>
    <mergeCell ref="BT99:BX99"/>
    <mergeCell ref="CA64:CD64"/>
    <mergeCell ref="BQ64:BT64"/>
    <mergeCell ref="BT100:BX100"/>
    <mergeCell ref="BN100:BR100"/>
    <mergeCell ref="BI133:BP133"/>
    <mergeCell ref="BN119:BR119"/>
    <mergeCell ref="BI65:BP65"/>
    <mergeCell ref="BV65:BY65"/>
    <mergeCell ref="BI144:BP144"/>
    <mergeCell ref="BI63:CC63"/>
    <mergeCell ref="CA66:CD66"/>
    <mergeCell ref="BV61:BY61"/>
    <mergeCell ref="BI57:BP57"/>
  </mergeCells>
  <phoneticPr fontId="26" type="noConversion"/>
  <conditionalFormatting sqref="AJ45:BC45 K43:AD43 AJ167:BC167 K165:AD165 AJ183:BC183 K181:AD181 AJ229:BC229 K227:AD227 K149:AD149 AJ151:BC151 AJ210:BC210 K208:AD208">
    <cfRule type="expression" dxfId="212" priority="161" stopIfTrue="1">
      <formula>I43=N.D.</formula>
    </cfRule>
  </conditionalFormatting>
  <conditionalFormatting sqref="AJ168:BC169 AJ184:BC185 AJ152:BC153 AJ211:BC212 AJ46:BC47 AJ230:BC231 AJ233:AM234 AN232:BC234">
    <cfRule type="expression" dxfId="211" priority="162" stopIfTrue="1">
      <formula>AH46=N.A.</formula>
    </cfRule>
  </conditionalFormatting>
  <conditionalFormatting sqref="AP182:BC182">
    <cfRule type="expression" dxfId="210" priority="177" stopIfTrue="1">
      <formula>$AB$175=menu_outil</formula>
    </cfRule>
  </conditionalFormatting>
  <conditionalFormatting sqref="AP164:AS164 AU164:AX164">
    <cfRule type="expression" dxfId="209" priority="178" stopIfTrue="1">
      <formula>LEN(TRIM(AP164))&gt;0</formula>
    </cfRule>
    <cfRule type="expression" dxfId="208" priority="179" stopIfTrue="1">
      <formula>$AB$159=menu_outil</formula>
    </cfRule>
  </conditionalFormatting>
  <conditionalFormatting sqref="AI167">
    <cfRule type="expression" dxfId="207" priority="180" stopIfTrue="1">
      <formula>$AB$159&lt;&gt;menu_outil</formula>
    </cfRule>
  </conditionalFormatting>
  <conditionalFormatting sqref="AP180:AS180 AU180:AX180">
    <cfRule type="expression" dxfId="206" priority="181" stopIfTrue="1">
      <formula>LEN(TRIM(AP180))&gt;0</formula>
    </cfRule>
    <cfRule type="expression" dxfId="205" priority="182" stopIfTrue="1">
      <formula>$AB$175=menu_outil</formula>
    </cfRule>
  </conditionalFormatting>
  <conditionalFormatting sqref="AP166:BC166">
    <cfRule type="expression" dxfId="204" priority="183" stopIfTrue="1">
      <formula>$AB$159=menu_outil</formula>
    </cfRule>
  </conditionalFormatting>
  <conditionalFormatting sqref="AP150:BC150">
    <cfRule type="expression" dxfId="203" priority="185" stopIfTrue="1">
      <formula>$AB$139=menu_outil</formula>
    </cfRule>
  </conditionalFormatting>
  <conditionalFormatting sqref="AI151">
    <cfRule type="expression" dxfId="202" priority="186" stopIfTrue="1">
      <formula>$AB$139&lt;&gt;menu_outil</formula>
    </cfRule>
  </conditionalFormatting>
  <conditionalFormatting sqref="U135:Y135 Z134:AC134">
    <cfRule type="expression" dxfId="201" priority="187" stopIfTrue="1">
      <formula>LEN(TRIM(U134))&gt;0</formula>
    </cfRule>
    <cfRule type="expression" dxfId="200" priority="188" stopIfTrue="1">
      <formula>$AV$133="Non"</formula>
    </cfRule>
  </conditionalFormatting>
  <conditionalFormatting sqref="P116:W116 AE103:AG103 P96:W96 AC123:AE123">
    <cfRule type="expression" dxfId="199" priority="190" stopIfTrue="1">
      <formula>$AC$110="Non"</formula>
    </cfRule>
    <cfRule type="expression" dxfId="198" priority="191" stopIfTrue="1">
      <formula>LEN(TRIM(P96))&gt;0</formula>
    </cfRule>
  </conditionalFormatting>
  <conditionalFormatting sqref="BH96:BH101 J116:J121 J96:J101 BH116:BI121">
    <cfRule type="expression" dxfId="197" priority="195" stopIfTrue="1">
      <formula>LEN(TRIM(J96))&gt;0</formula>
    </cfRule>
    <cfRule type="expression" dxfId="196" priority="196" stopIfTrue="1">
      <formula>#REF!=menu_outil</formula>
    </cfRule>
  </conditionalFormatting>
  <conditionalFormatting sqref="AA67:AD67">
    <cfRule type="expression" dxfId="195" priority="204" stopIfTrue="1">
      <formula>LEN(TRIM(AA67))&gt;0</formula>
    </cfRule>
    <cfRule type="expression" dxfId="194" priority="205" stopIfTrue="1">
      <formula>$T$66="Non"</formula>
    </cfRule>
  </conditionalFormatting>
  <conditionalFormatting sqref="AI71:AK72 V70:X70">
    <cfRule type="expression" dxfId="193" priority="30" stopIfTrue="1">
      <formula>LEN(TRIM(V70))&gt;0</formula>
    </cfRule>
    <cfRule type="expression" dxfId="192" priority="206" stopIfTrue="1">
      <formula>$T$69="Non"</formula>
    </cfRule>
  </conditionalFormatting>
  <conditionalFormatting sqref="P97:W101">
    <cfRule type="expression" dxfId="191" priority="208" stopIfTrue="1">
      <formula>$Y$90="Non"</formula>
    </cfRule>
    <cfRule type="expression" dxfId="190" priority="209" stopIfTrue="1">
      <formula>LEN(TRIM(P97))&gt;0</formula>
    </cfRule>
    <cfRule type="expression" dxfId="189" priority="210" stopIfTrue="1">
      <formula>$P$96&lt;&gt;""</formula>
    </cfRule>
  </conditionalFormatting>
  <conditionalFormatting sqref="Y97:AC97">
    <cfRule type="expression" dxfId="188" priority="97" stopIfTrue="1">
      <formula>$Y$90="Non"</formula>
    </cfRule>
    <cfRule type="expression" dxfId="187" priority="211">
      <formula>LEN(TRIM(P97))=0</formula>
    </cfRule>
    <cfRule type="expression" dxfId="186" priority="212" stopIfTrue="1">
      <formula>LEN(TRIM(Y97))&gt;0</formula>
    </cfRule>
  </conditionalFormatting>
  <conditionalFormatting sqref="AE96:AI101 AK96:AM101">
    <cfRule type="expression" dxfId="185" priority="129" stopIfTrue="1">
      <formula>$Y$90="Non"</formula>
    </cfRule>
  </conditionalFormatting>
  <conditionalFormatting sqref="AP44:BC44">
    <cfRule type="expression" dxfId="184" priority="231" stopIfTrue="1">
      <formula>$AB$32=menu_outil</formula>
    </cfRule>
  </conditionalFormatting>
  <conditionalFormatting sqref="AI45">
    <cfRule type="expression" dxfId="183" priority="232" stopIfTrue="1">
      <formula>$AB$32&lt;&gt;menu_outil</formula>
    </cfRule>
  </conditionalFormatting>
  <conditionalFormatting sqref="AU37:AX40 AP37:AP40 AQ37:AS37 AQ39:AS40">
    <cfRule type="expression" dxfId="182" priority="233" stopIfTrue="1">
      <formula>LEN(TRIM(AP37))&gt;0</formula>
    </cfRule>
    <cfRule type="expression" dxfId="181" priority="234" stopIfTrue="1">
      <formula>$AB$32=menu_outil</formula>
    </cfRule>
  </conditionalFormatting>
  <conditionalFormatting sqref="AK97:AM97">
    <cfRule type="expression" dxfId="180" priority="227" stopIfTrue="1">
      <formula>$AK97&lt;&gt;""</formula>
    </cfRule>
    <cfRule type="expression" dxfId="179" priority="228" stopIfTrue="1">
      <formula>OR($Y97="",$Y97=0)</formula>
    </cfRule>
  </conditionalFormatting>
  <conditionalFormatting sqref="AK96:AM96">
    <cfRule type="expression" dxfId="178" priority="115" stopIfTrue="1">
      <formula>$AK96&lt;&gt;""</formula>
    </cfRule>
    <cfRule type="expression" dxfId="177" priority="116" stopIfTrue="1">
      <formula>OR($Y96="",$Y96=0)</formula>
    </cfRule>
  </conditionalFormatting>
  <conditionalFormatting sqref="AE96:AI96">
    <cfRule type="expression" dxfId="176" priority="110" stopIfTrue="1">
      <formula>$AE96&lt;&gt;""</formula>
    </cfRule>
    <cfRule type="expression" dxfId="175" priority="111" stopIfTrue="1">
      <formula>OR($Y96="",$Y96=0)</formula>
    </cfRule>
  </conditionalFormatting>
  <conditionalFormatting sqref="AE97:AI101">
    <cfRule type="expression" dxfId="174" priority="103" stopIfTrue="1">
      <formula>$AE97&lt;&gt;""</formula>
    </cfRule>
    <cfRule type="expression" dxfId="173" priority="104" stopIfTrue="1">
      <formula>OR($Y97="",$Y97=0)</formula>
    </cfRule>
  </conditionalFormatting>
  <conditionalFormatting sqref="AK98:AM101">
    <cfRule type="expression" dxfId="172" priority="100" stopIfTrue="1">
      <formula>$AK98&lt;&gt;""</formula>
    </cfRule>
    <cfRule type="expression" dxfId="171" priority="101" stopIfTrue="1">
      <formula>OR($Y98="",$Y98=0)</formula>
    </cfRule>
  </conditionalFormatting>
  <conditionalFormatting sqref="Y98:AC101">
    <cfRule type="expression" dxfId="170" priority="94" stopIfTrue="1">
      <formula>$Y$90="Non"</formula>
    </cfRule>
    <cfRule type="expression" dxfId="169" priority="95">
      <formula>LEN(TRIM(P98))=0</formula>
    </cfRule>
    <cfRule type="expression" dxfId="168" priority="96" stopIfTrue="1">
      <formula>LEN(TRIM(Y98))&gt;0</formula>
    </cfRule>
  </conditionalFormatting>
  <conditionalFormatting sqref="Y96:AC96">
    <cfRule type="expression" dxfId="167" priority="91" stopIfTrue="1">
      <formula>$Y$90="Non"</formula>
    </cfRule>
    <cfRule type="expression" dxfId="166" priority="92">
      <formula>LEN(TRIM(P96))=0</formula>
    </cfRule>
    <cfRule type="expression" dxfId="165" priority="93" stopIfTrue="1">
      <formula>LEN(TRIM(Y96))&gt;0</formula>
    </cfRule>
  </conditionalFormatting>
  <conditionalFormatting sqref="AK116:AM116">
    <cfRule type="expression" dxfId="164" priority="87" stopIfTrue="1">
      <formula>OR($Y116="",$Y116=0)</formula>
    </cfRule>
    <cfRule type="expression" dxfId="163" priority="88" stopIfTrue="1">
      <formula>$AK116&lt;&gt;""</formula>
    </cfRule>
  </conditionalFormatting>
  <conditionalFormatting sqref="AE116:AI116">
    <cfRule type="expression" dxfId="162" priority="84" stopIfTrue="1">
      <formula>OR($Y116="",$Y116=0)</formula>
    </cfRule>
    <cfRule type="expression" dxfId="161" priority="85" stopIfTrue="1">
      <formula>$AE116&lt;&gt;""</formula>
    </cfRule>
  </conditionalFormatting>
  <conditionalFormatting sqref="AK117:AM121">
    <cfRule type="expression" dxfId="160" priority="65" stopIfTrue="1">
      <formula>OR($Y117="",$Y117=0)</formula>
    </cfRule>
    <cfRule type="expression" dxfId="159" priority="66" stopIfTrue="1">
      <formula>$AK117&lt;&gt;""</formula>
    </cfRule>
  </conditionalFormatting>
  <conditionalFormatting sqref="AE117:AI121">
    <cfRule type="expression" dxfId="158" priority="62" stopIfTrue="1">
      <formula>OR($Y117="",$Y117=0)</formula>
    </cfRule>
    <cfRule type="expression" dxfId="157" priority="63" stopIfTrue="1">
      <formula>$AE117&lt;&gt;""</formula>
    </cfRule>
  </conditionalFormatting>
  <conditionalFormatting sqref="AV209:AY209 AT209">
    <cfRule type="expression" dxfId="156" priority="636" stopIfTrue="1">
      <formula>$AM$199=menu_outil</formula>
    </cfRule>
  </conditionalFormatting>
  <conditionalFormatting sqref="AV204:AY205">
    <cfRule type="expression" dxfId="155" priority="638" stopIfTrue="1">
      <formula>LEN(TRIM(AV204))&gt;0</formula>
    </cfRule>
    <cfRule type="expression" dxfId="154" priority="639" stopIfTrue="1">
      <formula>$AM$199=menu_outil</formula>
    </cfRule>
  </conditionalFormatting>
  <conditionalFormatting sqref="AI210">
    <cfRule type="expression" dxfId="153" priority="640" stopIfTrue="1">
      <formula>$AM$199&lt;&gt;menu_outil</formula>
    </cfRule>
  </conditionalFormatting>
  <conditionalFormatting sqref="AP221:AS221 AU221:AX221 AP223:AS224 AU223:AX224">
    <cfRule type="expression" dxfId="152" priority="795" stopIfTrue="1">
      <formula>LEN(TRIM(AP221))&gt;0</formula>
    </cfRule>
    <cfRule type="expression" dxfId="151" priority="796" stopIfTrue="1">
      <formula>$AC$215=menu_outil</formula>
    </cfRule>
  </conditionalFormatting>
  <conditionalFormatting sqref="AI229">
    <cfRule type="expression" dxfId="150" priority="803" stopIfTrue="1">
      <formula>$AC$215&lt;&gt;menu_outil</formula>
    </cfRule>
  </conditionalFormatting>
  <conditionalFormatting sqref="AP228:BC228">
    <cfRule type="expression" dxfId="149" priority="804" stopIfTrue="1">
      <formula>$AC$215=menu_outil</formula>
    </cfRule>
  </conditionalFormatting>
  <conditionalFormatting sqref="K62">
    <cfRule type="expression" dxfId="148" priority="52" stopIfTrue="1">
      <formula>I62=N.D.</formula>
    </cfRule>
  </conditionalFormatting>
  <conditionalFormatting sqref="P118:W121">
    <cfRule type="expression" dxfId="147" priority="864" stopIfTrue="1">
      <formula>LEN(TRIM(P118))&gt;0</formula>
    </cfRule>
    <cfRule type="expression" dxfId="146" priority="865" stopIfTrue="1">
      <formula>$AC$110="Non"</formula>
    </cfRule>
    <cfRule type="expression" dxfId="145" priority="866" stopIfTrue="1">
      <formula>$P$116&lt;&gt;""</formula>
    </cfRule>
  </conditionalFormatting>
  <conditionalFormatting sqref="AK116:AM121 AE116:AI121">
    <cfRule type="expression" dxfId="144" priority="877" stopIfTrue="1">
      <formula>$AC$110="Non"</formula>
    </cfRule>
  </conditionalFormatting>
  <conditionalFormatting sqref="Y116:AC121">
    <cfRule type="expression" dxfId="143" priority="879" stopIfTrue="1">
      <formula>$AC$110="Non"</formula>
    </cfRule>
    <cfRule type="expression" dxfId="142" priority="880">
      <formula>LEN(TRIM(P116))=0</formula>
    </cfRule>
    <cfRule type="expression" dxfId="141" priority="881" stopIfTrue="1">
      <formula>LEN(TRIM(Y116))&gt;0</formula>
    </cfRule>
  </conditionalFormatting>
  <conditionalFormatting sqref="P117:W117">
    <cfRule type="expression" dxfId="140" priority="882" stopIfTrue="1">
      <formula>$AC$110="Non"</formula>
    </cfRule>
    <cfRule type="expression" dxfId="139" priority="883" stopIfTrue="1">
      <formula>LEN(TRIM(P117))&gt;0</formula>
    </cfRule>
    <cfRule type="expression" dxfId="138" priority="884" stopIfTrue="1">
      <formula>$P$116&lt;&gt;""</formula>
    </cfRule>
  </conditionalFormatting>
  <conditionalFormatting sqref="AL25">
    <cfRule type="expression" dxfId="137" priority="31">
      <formula>AND(AF30="oui",res_utiliser_recyclables=menu_utilisateur)</formula>
    </cfRule>
  </conditionalFormatting>
  <conditionalFormatting sqref="AV133:AX133 AC215:AK215 AM199:AU199 AB175:AJ175 AB159:AJ159 AB139:AJ139 AC110:AE110 Y90:AA90 AM78:AP78 T69:V69 T66:V66 Q57:T59 V57:Y59 AF30:AH30 AB32:AJ32">
    <cfRule type="expression" dxfId="136" priority="28">
      <formula>LEN(TRIM(Q30))&gt;0</formula>
    </cfRule>
  </conditionalFormatting>
  <conditionalFormatting sqref="KB31:KN31">
    <cfRule type="expression" dxfId="135" priority="22">
      <formula>$KB$35&lt;&gt;""</formula>
    </cfRule>
  </conditionalFormatting>
  <conditionalFormatting sqref="KB35:KN35">
    <cfRule type="expression" dxfId="134" priority="21">
      <formula>$KB$35&lt;&gt;""</formula>
    </cfRule>
  </conditionalFormatting>
  <conditionalFormatting sqref="KB31:KB34">
    <cfRule type="expression" dxfId="133" priority="20">
      <formula>$KB$35&lt;&gt;""</formula>
    </cfRule>
  </conditionalFormatting>
  <conditionalFormatting sqref="KN31:KN34">
    <cfRule type="expression" dxfId="132" priority="19">
      <formula>$KB$35&lt;&gt;""</formula>
    </cfRule>
  </conditionalFormatting>
  <conditionalFormatting sqref="Q57:T59 V57:Y59">
    <cfRule type="expression" dxfId="131" priority="947">
      <formula>#REF!&lt;&gt;""</formula>
    </cfRule>
  </conditionalFormatting>
  <conditionalFormatting sqref="Z8:AD10 Z12:AD13">
    <cfRule type="expression" dxfId="130" priority="18">
      <formula>LEN(TRIM(Z8))&gt;0</formula>
    </cfRule>
  </conditionalFormatting>
  <conditionalFormatting sqref="Z15:AD17">
    <cfRule type="expression" dxfId="129" priority="17">
      <formula>LEN(TRIM(Z15))&gt;0</formula>
    </cfRule>
  </conditionalFormatting>
  <conditionalFormatting sqref="Z18:AD18">
    <cfRule type="expression" dxfId="128" priority="16">
      <formula>LEN(TRIM(Z18))&gt;0</formula>
    </cfRule>
  </conditionalFormatting>
  <conditionalFormatting sqref="Z11:AD11">
    <cfRule type="expression" dxfId="127" priority="15">
      <formula>LEN(TRIM(Z11))&gt;0</formula>
    </cfRule>
  </conditionalFormatting>
  <conditionalFormatting sqref="KE29:KH29">
    <cfRule type="expression" dxfId="126" priority="14">
      <formula>LEN(TRIM(KE29))&gt;0</formula>
    </cfRule>
  </conditionalFormatting>
  <conditionalFormatting sqref="KJ29:KM29">
    <cfRule type="expression" dxfId="125" priority="12">
      <formula>LEN(TRIM(KJ29))&gt;0</formula>
    </cfRule>
  </conditionalFormatting>
  <conditionalFormatting sqref="KE38:KH38">
    <cfRule type="expression" dxfId="124" priority="10">
      <formula>LEN(TRIM(KE38))&gt;0</formula>
    </cfRule>
  </conditionalFormatting>
  <conditionalFormatting sqref="KJ38:KM38">
    <cfRule type="expression" dxfId="123" priority="9">
      <formula>LEN(TRIM(KJ38))&gt;0</formula>
    </cfRule>
  </conditionalFormatting>
  <conditionalFormatting sqref="KH54:KK54">
    <cfRule type="expression" dxfId="122" priority="8">
      <formula>LEN(TRIM(KH54))&gt;0</formula>
    </cfRule>
  </conditionalFormatting>
  <conditionalFormatting sqref="Q56:T56">
    <cfRule type="expression" dxfId="121" priority="7">
      <formula>LEN(TRIM(Q56))&gt;0</formula>
    </cfRule>
  </conditionalFormatting>
  <conditionalFormatting sqref="V56:Y56">
    <cfRule type="expression" dxfId="120" priority="6">
      <formula>LEN(TRIM(V56))&gt;0</formula>
    </cfRule>
  </conditionalFormatting>
  <conditionalFormatting sqref="AV74:AX74">
    <cfRule type="expression" dxfId="119" priority="5">
      <formula>LEN(TRIM(AV74))&gt;0</formula>
    </cfRule>
  </conditionalFormatting>
  <conditionalFormatting sqref="AV194:AX194">
    <cfRule type="expression" dxfId="118" priority="4">
      <formula>LEN(TRIM(AV194))&gt;0</formula>
    </cfRule>
  </conditionalFormatting>
  <conditionalFormatting sqref="AE232:AH232">
    <cfRule type="expression" dxfId="117" priority="3">
      <formula>LEN(TRIM(AE232))&gt;0</formula>
    </cfRule>
  </conditionalFormatting>
  <conditionalFormatting sqref="KH217:KK217">
    <cfRule type="expression" dxfId="116" priority="2">
      <formula>LEN(TRIM(KH217))&gt;0</formula>
    </cfRule>
  </conditionalFormatting>
  <conditionalFormatting sqref="KH176:KK176">
    <cfRule type="expression" dxfId="115" priority="1">
      <formula>LEN(TRIM(KH176))&gt;0</formula>
    </cfRule>
  </conditionalFormatting>
  <dataValidations count="9">
    <dataValidation type="list" allowBlank="1" showErrorMessage="1" sqref="AE103:AG103 AF30:AH30 AM78:AP78 AV133:AX133 T66:V66 AI71:AK72 V70:X70 T69:V69 AC123:AE123 Y90:AA90 AC110:AE110" xr:uid="{00000000-0002-0000-0100-000000000000}">
      <formula1>deroulant_oui_non</formula1>
    </dataValidation>
    <dataValidation type="decimal" operator="greaterThan" allowBlank="1" showErrorMessage="1" errorTitle="Donnée non valide" error="Votre saisie doit répondre aux conditions suivantes : _x000a_- Être un chiffre_x000a_- Être supérieur ou égal à zéro_x000a_- Ne pas contenir d'unité" promptTitle="Valeur des permis à bâtir :" prompt="Inscrire la valeur des permis à bâtir de la MRC pour l'année de référence. Pour ce faire, utiliser le lien afin d'accéder aux données de l'Institut de la Statistique du Québec (ISQ)" sqref="Y116:AC121 AP180:AS180 AU180:AX180 Y96:AC101 AP164:AS164 AU164:AX164 AV204:AY205 AP221:AS221 AU221:AX221 AP223:AS224 AU223:AX224 Z134:AC134 AV74:AX74 AA67:AD67 AG31:AJ31 AQ39:AS40 AU37:AX40 V56:Y59 Q56:T59 AP37:AP40 AQ37:AS37 Z8:Z13 AA8:AD10 AA12:AD13" xr:uid="{00000000-0002-0000-0100-000001000000}">
      <formula1>-1</formula1>
    </dataValidation>
    <dataValidation type="list" allowBlank="1" showInputMessage="1" showErrorMessage="1" sqref="AC215 AB175 AB159 AB139 AM199 AB32" xr:uid="{00000000-0002-0000-0100-000002000000}">
      <formula1>deroulant_outil_utilisateur</formula1>
    </dataValidation>
    <dataValidation type="decimal" allowBlank="1" showErrorMessage="1" errorTitle="Donnée non valide" error="Votre saisie doit répondre aux conditions suivantes : _x000a_- Être un chiffre_x000a_- Être situé entre 0 et 100 %_x000a_- Ne pas contenir d'unité" sqref="U135:Y135" xr:uid="{00000000-0002-0000-0100-000003000000}">
      <formula1>0</formula1>
      <formula2>1</formula2>
    </dataValidation>
    <dataValidation type="decimal" allowBlank="1" showErrorMessage="1" errorTitle="Donnée non valide" error="Votre saisie doit répondre aux conditions suivantes : _x000a_- Être un chiffre_x000a_- Être situé entre 0 et 100 %_x000a_- Ne pas contenir d'unité" promptTitle="Valeur des permis à bâtir :" prompt="Inscrire la valeur des permis à bâtir de la MRC pour l'année de référence. Pour ce faire, utiliser le lien afin d'accéder aux données de l'Institut de la Statistique du Québec (ISQ)" sqref="AV194:AX194 AK116:AM116 AK117:AK121 AE96:AI101 AK96:AK101 AE116:AI121" xr:uid="{00000000-0002-0000-0100-000004000000}">
      <formula1>0</formula1>
      <formula2>1</formula2>
    </dataValidation>
    <dataValidation type="decimal" operator="greaterThan" allowBlank="1" showInputMessage="1" showErrorMessage="1" errorTitle="Donnée non valide" error="Votre saisie doit répondre aux conditions suivantes : _x000a_- Être un chiffre_x000a_- Être supérieur ou égal à zéro_x000a_- Ne pas contenir d'unité" sqref="AE232:AH232" xr:uid="{00000000-0002-0000-0100-000005000000}">
      <formula1>-1</formula1>
    </dataValidation>
    <dataValidation allowBlank="1" showErrorMessage="1" errorTitle="Donnée non valide" error="Votre saisie doit répondre aux conditions suivantes : _x000a_- Être un chiffre_x000a_- Être situé entre 0 et 100 %_x000a_- Ne pas contenir d'unité" promptTitle="Valeur des permis à bâtir :" prompt="Inscrire la valeur des permis à bâtir de la MRC pour l'année de référence. Pour ce faire, utiliser le lien afin d'accéder aux données de l'Institut de la Statistique du Québec (ISQ)" sqref="AO96:AQ101 AO116:AQ121" xr:uid="{00000000-0002-0000-0100-000006000000}"/>
    <dataValidation allowBlank="1" showErrorMessage="1" promptTitle="Valeur des permis à bâtir :" prompt="Inscrire la valeur des permis à bâtir de la MRC pour l'année de référence. Pour ce faire, utiliser le lien afin d'accéder aux données de l'Institut de la Statistique du Québec (ISQ)" sqref="AF15:AF18" xr:uid="{00000000-0002-0000-0100-000007000000}"/>
    <dataValidation type="decimal" allowBlank="1" showErrorMessage="1" errorTitle="Donnée non valide" error="Votre saisie doit répondre aux conditions suivantes : _x000a_- Être un chiffre_x000a_- Être comprise entre 0 et 5_x000a_- Ne pas contenir d'unité" promptTitle="Valeur des permis à bâtir :" prompt="Inscrire la valeur des permis à bâtir de la MRC pour l'année de référence. Pour ce faire, utiliser le lien afin d'accéder aux données de l'Institut de la Statistique du Québec (ISQ)" sqref="Z15:AD18" xr:uid="{00000000-0002-0000-0100-000008000000}">
      <formula1>0</formula1>
      <formula2>5</formula2>
    </dataValidation>
  </dataValidations>
  <printOptions horizontalCentered="1"/>
  <pageMargins left="0.39370078740157483" right="0.39370078740157483" top="0.39370078740157483" bottom="0.39370078740157483" header="0.31496062992125984" footer="0.31496062992125984"/>
  <pageSetup scale="80" fitToHeight="0" orientation="landscape" r:id="rId1"/>
  <headerFooter alignWithMargins="0"/>
  <rowBreaks count="5" manualBreakCount="5">
    <brk id="48" max="16383" man="1"/>
    <brk id="81" min="5" max="57" man="1"/>
    <brk id="135" min="5" max="57" man="1"/>
    <brk id="170" max="16383" man="1"/>
    <brk id="217" min="5" max="57" man="1"/>
  </rowBreaks>
  <ignoredErrors>
    <ignoredError sqref="AG31 AE181:BC182 AE183:AH183 AJ183:BC183" emptyCellReferenc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indexed="48"/>
    <pageSetUpPr fitToPage="1"/>
  </sheetPr>
  <dimension ref="A1:JZ107"/>
  <sheetViews>
    <sheetView showGridLines="0" showRowColHeaders="0" topLeftCell="A11" workbookViewId="0">
      <selection activeCell="A11" sqref="A11"/>
    </sheetView>
  </sheetViews>
  <sheetFormatPr baseColWidth="10" defaultColWidth="3.140625" defaultRowHeight="15" x14ac:dyDescent="0.25"/>
  <cols>
    <col min="1" max="1" width="1.42578125" customWidth="1"/>
    <col min="2" max="2" width="1" customWidth="1"/>
    <col min="3" max="3" width="3.140625" customWidth="1"/>
    <col min="4" max="4" width="5" customWidth="1"/>
    <col min="5" max="13" width="3.140625" customWidth="1"/>
    <col min="14" max="14" width="6.140625" customWidth="1"/>
    <col min="15" max="28" width="3.42578125" customWidth="1"/>
    <col min="29" max="29" width="5.42578125" customWidth="1"/>
    <col min="30" max="30" width="1" customWidth="1"/>
    <col min="31" max="61" width="3.140625" hidden="1" customWidth="1"/>
    <col min="62" max="62" width="9.85546875" hidden="1" customWidth="1"/>
    <col min="63" max="63" width="14.85546875" hidden="1" customWidth="1"/>
    <col min="64" max="286" width="3.140625" hidden="1" customWidth="1"/>
  </cols>
  <sheetData>
    <row r="1" spans="1:63" hidden="1" x14ac:dyDescent="0.25"/>
    <row r="2" spans="1:63" hidden="1" x14ac:dyDescent="0.25"/>
    <row r="3" spans="1:63" hidden="1" x14ac:dyDescent="0.25"/>
    <row r="4" spans="1:63" hidden="1" x14ac:dyDescent="0.25"/>
    <row r="5" spans="1:63" hidden="1" x14ac:dyDescent="0.25"/>
    <row r="6" spans="1:63" hidden="1" x14ac:dyDescent="0.25"/>
    <row r="7" spans="1:63" hidden="1" x14ac:dyDescent="0.25"/>
    <row r="8" spans="1:63" hidden="1" x14ac:dyDescent="0.25"/>
    <row r="9" spans="1:63" hidden="1" x14ac:dyDescent="0.25"/>
    <row r="10" spans="1:63" hidden="1" x14ac:dyDescent="0.25"/>
    <row r="12" spans="1:63" ht="30" customHeight="1" x14ac:dyDescent="0.25">
      <c r="A12" s="5"/>
      <c r="B12" s="146"/>
      <c r="C12" s="147" t="str">
        <f>"Secteur Résidentiel - Résultats - "&amp;gen_MRC</f>
        <v xml:space="preserve">Secteur Résidentiel - Résultats - </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268" t="str">
        <f>"Version "&amp;Paramètres!$G$3</f>
        <v>Version 2022</v>
      </c>
      <c r="AD12" s="146"/>
      <c r="AE12" s="993" t="s">
        <v>294</v>
      </c>
      <c r="AF12" s="993"/>
      <c r="AG12" s="993"/>
      <c r="AH12" s="993"/>
      <c r="AI12" s="993"/>
      <c r="AJ12" s="993"/>
      <c r="AK12" s="993"/>
      <c r="AL12" s="993"/>
      <c r="AM12" s="993"/>
      <c r="AN12" s="993"/>
      <c r="AO12" s="993"/>
      <c r="AP12" s="993"/>
      <c r="AQ12" s="993"/>
      <c r="AR12" s="993"/>
      <c r="AS12" s="993"/>
      <c r="AT12" s="993"/>
      <c r="AU12" s="993"/>
      <c r="AV12" s="993"/>
      <c r="AW12" s="993"/>
      <c r="AX12" s="993"/>
      <c r="AY12" s="993"/>
      <c r="AZ12" s="5"/>
      <c r="BA12" s="5"/>
      <c r="BB12" s="5"/>
      <c r="BC12" s="5"/>
      <c r="BD12" s="5"/>
      <c r="BE12" s="5"/>
      <c r="BF12" s="5"/>
      <c r="BG12" s="5"/>
      <c r="BH12" s="5"/>
      <c r="BI12" s="5"/>
      <c r="BJ12" s="93" t="s">
        <v>350</v>
      </c>
      <c r="BK12" s="5" t="s">
        <v>346</v>
      </c>
    </row>
    <row r="13" spans="1:63" ht="18.75" customHeight="1" x14ac:dyDescent="0.25">
      <c r="A13" s="5"/>
      <c r="B13" s="146"/>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146"/>
      <c r="AE13" s="5"/>
      <c r="AF13" s="5"/>
      <c r="AG13" s="5"/>
      <c r="AH13" s="5"/>
      <c r="AI13" s="5"/>
      <c r="AJ13" s="5"/>
      <c r="AK13" s="5"/>
      <c r="AL13" s="5"/>
      <c r="AM13" s="5"/>
      <c r="AN13" s="5"/>
      <c r="AO13" s="5"/>
      <c r="AP13" s="5"/>
      <c r="AQ13" s="5"/>
      <c r="AR13" s="5"/>
      <c r="AS13" s="5"/>
      <c r="AT13" s="5"/>
      <c r="AU13" s="5"/>
      <c r="AV13" s="5"/>
      <c r="AW13" s="5"/>
      <c r="AX13" s="5"/>
      <c r="AY13" s="40"/>
      <c r="AZ13" s="5"/>
      <c r="BA13" s="5"/>
      <c r="BB13" s="5"/>
      <c r="BC13" s="5"/>
      <c r="BD13" s="5"/>
      <c r="BE13" s="5"/>
      <c r="BF13" s="5"/>
      <c r="BG13" s="5"/>
      <c r="BH13" s="5"/>
      <c r="BI13" s="5"/>
      <c r="BJ13" s="5"/>
      <c r="BK13" s="5"/>
    </row>
    <row r="14" spans="1:63" ht="33.75" customHeight="1" x14ac:dyDescent="0.25">
      <c r="A14" s="5"/>
      <c r="B14" s="146"/>
      <c r="C14" s="5"/>
      <c r="D14" s="972" t="str">
        <f>IF(res_utiliser_recyclables=menu_utilisateur,BK14&amp;retour&amp;utilisateur,BK14&amp;retour&amp;outil)</f>
        <v>MATIÈRES RECYCLABLES
    (Données de l'outil)</v>
      </c>
      <c r="E14" s="972"/>
      <c r="F14" s="972"/>
      <c r="G14" s="972"/>
      <c r="H14" s="972"/>
      <c r="I14" s="972"/>
      <c r="J14" s="972"/>
      <c r="K14" s="972"/>
      <c r="L14" s="972"/>
      <c r="M14" s="972"/>
      <c r="N14" s="972"/>
      <c r="O14" s="971" t="str">
        <f>IF(OR(COUNTIF(O18:O23,N.D.)&gt;0,COUNTIF(T18:T23,N.D.)&gt;0,COUNTIF(Y18:Y23,N.D.)&gt;0),erreur2&amp;'Données - Résidentiel'!I22,"")</f>
        <v>Les données ci-dessous ne peuvent pas être complétées. Vérifiez la réponse à la question 2.2.</v>
      </c>
      <c r="P14" s="971"/>
      <c r="Q14" s="971"/>
      <c r="R14" s="971"/>
      <c r="S14" s="971"/>
      <c r="T14" s="971"/>
      <c r="U14" s="971"/>
      <c r="V14" s="971"/>
      <c r="W14" s="971"/>
      <c r="X14" s="971"/>
      <c r="Y14" s="971"/>
      <c r="Z14" s="971"/>
      <c r="AA14" s="971"/>
      <c r="AB14" s="971"/>
      <c r="AC14" s="5"/>
      <c r="AD14" s="146"/>
      <c r="AE14" s="5"/>
      <c r="AF14" s="42" t="s">
        <v>300</v>
      </c>
      <c r="AG14" s="42"/>
      <c r="AH14" s="42"/>
      <c r="AI14" s="42"/>
      <c r="AJ14" s="42"/>
      <c r="AK14" s="42"/>
      <c r="AL14" s="42"/>
      <c r="AM14" s="42"/>
      <c r="AN14" s="42"/>
      <c r="AO14" s="987" t="s">
        <v>299</v>
      </c>
      <c r="AP14" s="987"/>
      <c r="AQ14" s="987"/>
      <c r="AR14" s="987"/>
      <c r="AS14" s="987"/>
      <c r="AT14" s="987"/>
      <c r="AU14" s="987"/>
      <c r="AV14" s="987"/>
      <c r="AW14" s="987"/>
      <c r="AX14" s="5"/>
      <c r="AY14" s="40"/>
      <c r="AZ14" s="5"/>
      <c r="BA14" s="5" t="s">
        <v>293</v>
      </c>
      <c r="BB14" s="5"/>
      <c r="BC14" s="5"/>
      <c r="BD14" s="5"/>
      <c r="BE14" s="5"/>
      <c r="BF14" s="5"/>
      <c r="BG14" s="5"/>
      <c r="BH14" s="5"/>
      <c r="BI14" s="5"/>
      <c r="BJ14" s="5"/>
      <c r="BK14" s="89" t="str">
        <f>UPPER('Données - ICI'!J5)</f>
        <v>MATIÈRES RECYCLABLES</v>
      </c>
    </row>
    <row r="15" spans="1:63" ht="5.25" hidden="1" customHeight="1" x14ac:dyDescent="0.25">
      <c r="A15" s="5"/>
      <c r="B15" s="146"/>
      <c r="C15" s="5"/>
      <c r="D15" s="41"/>
      <c r="E15" s="41"/>
      <c r="F15" s="41"/>
      <c r="G15" s="41"/>
      <c r="H15" s="41"/>
      <c r="I15" s="69"/>
      <c r="J15" s="69"/>
      <c r="K15" s="69"/>
      <c r="L15" s="69"/>
      <c r="M15" s="69"/>
      <c r="N15" s="69"/>
      <c r="O15" s="60"/>
      <c r="P15" s="60"/>
      <c r="Q15" s="60"/>
      <c r="R15" s="60"/>
      <c r="S15" s="60"/>
      <c r="T15" s="60"/>
      <c r="U15" s="60"/>
      <c r="V15" s="60"/>
      <c r="W15" s="60"/>
      <c r="X15" s="60"/>
      <c r="Y15" s="60"/>
      <c r="Z15" s="60"/>
      <c r="AA15" s="60"/>
      <c r="AB15" s="60"/>
      <c r="AC15" s="5"/>
      <c r="AD15" s="146"/>
      <c r="AE15" s="5"/>
      <c r="AF15" s="19"/>
      <c r="AG15" s="19"/>
      <c r="AH15" s="19"/>
      <c r="AI15" s="19"/>
      <c r="AJ15" s="19"/>
      <c r="AK15" s="19"/>
      <c r="AL15" s="19"/>
      <c r="AM15" s="19"/>
      <c r="AN15" s="19"/>
      <c r="AO15" s="68"/>
      <c r="AP15" s="68"/>
      <c r="AQ15" s="68"/>
      <c r="AR15" s="68"/>
      <c r="AS15" s="68"/>
      <c r="AT15" s="68"/>
      <c r="AU15" s="68"/>
      <c r="AV15" s="68"/>
      <c r="AW15" s="68"/>
      <c r="AX15" s="5"/>
      <c r="AY15" s="40"/>
      <c r="AZ15" s="5"/>
      <c r="BA15" s="5"/>
      <c r="BB15" s="5"/>
      <c r="BC15" s="5"/>
      <c r="BD15" s="5"/>
      <c r="BE15" s="5"/>
      <c r="BF15" s="5"/>
      <c r="BG15" s="5"/>
      <c r="BH15" s="5"/>
      <c r="BI15" s="5"/>
      <c r="BJ15" s="5"/>
    </row>
    <row r="16" spans="1:63" ht="20.25" customHeight="1" x14ac:dyDescent="0.25">
      <c r="A16" s="5"/>
      <c r="B16" s="146"/>
      <c r="C16" s="5"/>
      <c r="D16" s="43"/>
      <c r="E16" s="5"/>
      <c r="F16" s="5"/>
      <c r="G16" s="5"/>
      <c r="H16" s="5"/>
      <c r="I16" s="5"/>
      <c r="J16" s="5"/>
      <c r="K16" s="5"/>
      <c r="L16" s="5"/>
      <c r="M16" s="5"/>
      <c r="N16" s="5"/>
      <c r="O16" s="715" t="str">
        <f>'Données - CRD'!Q16</f>
        <v>Récupéré (t)</v>
      </c>
      <c r="P16" s="715"/>
      <c r="Q16" s="715"/>
      <c r="R16" s="715"/>
      <c r="S16" s="5"/>
      <c r="T16" s="715" t="str">
        <f>'Données - CRD'!V16</f>
        <v>Éliminé (t)</v>
      </c>
      <c r="U16" s="715"/>
      <c r="V16" s="715"/>
      <c r="W16" s="715"/>
      <c r="X16" s="5"/>
      <c r="Y16" s="715" t="str">
        <f>'Données - CRD'!AF16</f>
        <v>Généré (t)</v>
      </c>
      <c r="Z16" s="715"/>
      <c r="AA16" s="715"/>
      <c r="AB16" s="715"/>
      <c r="AC16" s="5"/>
      <c r="AD16" s="146"/>
      <c r="AE16" s="5"/>
      <c r="AF16" s="19"/>
      <c r="AG16" s="19"/>
      <c r="AH16" s="19"/>
      <c r="AI16" s="19"/>
      <c r="AJ16" s="5"/>
      <c r="AK16" s="5"/>
      <c r="AL16" s="5"/>
      <c r="AM16" s="5"/>
      <c r="AN16" s="5"/>
      <c r="AO16" s="989" t="s">
        <v>301</v>
      </c>
      <c r="AP16" s="989"/>
      <c r="AQ16" s="989"/>
      <c r="AR16" s="989"/>
      <c r="AS16" s="989"/>
      <c r="AT16" s="989"/>
      <c r="AU16" s="989"/>
      <c r="AV16" s="989"/>
      <c r="AW16" s="989"/>
      <c r="AX16" s="5"/>
      <c r="AY16" s="40"/>
      <c r="AZ16" s="5"/>
      <c r="BA16" s="5"/>
      <c r="BB16" s="5"/>
      <c r="BC16" s="5"/>
      <c r="BD16" s="5"/>
      <c r="BE16" s="5"/>
      <c r="BF16" s="5"/>
      <c r="BG16" s="5"/>
      <c r="BH16" s="5"/>
      <c r="BI16" s="5"/>
      <c r="BJ16" s="5"/>
    </row>
    <row r="17" spans="1:63" ht="5.25" hidden="1" customHeight="1" x14ac:dyDescent="0.3">
      <c r="A17" s="5"/>
      <c r="B17" s="146"/>
      <c r="C17" s="5"/>
      <c r="D17" s="26"/>
      <c r="E17" s="5"/>
      <c r="F17" s="5"/>
      <c r="G17" s="5"/>
      <c r="H17" s="5"/>
      <c r="I17" s="5"/>
      <c r="J17" s="5"/>
      <c r="K17" s="5"/>
      <c r="L17" s="5"/>
      <c r="M17" s="5"/>
      <c r="N17" s="5"/>
      <c r="O17" s="4"/>
      <c r="P17" s="4"/>
      <c r="Q17" s="4"/>
      <c r="R17" s="4"/>
      <c r="S17" s="5"/>
      <c r="T17" s="4"/>
      <c r="U17" s="4"/>
      <c r="V17" s="4"/>
      <c r="W17" s="4"/>
      <c r="X17" s="5"/>
      <c r="Y17" s="4"/>
      <c r="Z17" s="4"/>
      <c r="AA17" s="4"/>
      <c r="AB17" s="4"/>
      <c r="AC17" s="26"/>
      <c r="AD17" s="146"/>
      <c r="AE17" s="5"/>
      <c r="AF17" s="5"/>
      <c r="AG17" s="5"/>
      <c r="AH17" s="5"/>
      <c r="AI17" s="5"/>
      <c r="AJ17" s="5"/>
      <c r="AK17" s="5"/>
      <c r="AL17" s="5"/>
      <c r="AM17" s="5"/>
      <c r="AN17" s="5"/>
      <c r="AO17" s="45"/>
      <c r="AP17" s="45"/>
      <c r="AQ17" s="45"/>
      <c r="AR17" s="45"/>
      <c r="AS17" s="45"/>
      <c r="AT17" s="45"/>
      <c r="AU17" s="44"/>
      <c r="AV17" s="44"/>
      <c r="AW17" s="44"/>
      <c r="AX17" s="5"/>
      <c r="AY17" s="40"/>
      <c r="AZ17" s="5"/>
      <c r="BA17" s="5"/>
      <c r="BB17" s="5"/>
      <c r="BC17" s="5"/>
      <c r="BD17" s="5"/>
      <c r="BE17" s="5"/>
      <c r="BF17" s="5"/>
      <c r="BG17" s="5"/>
      <c r="BH17" s="5"/>
      <c r="BI17" s="5"/>
      <c r="BJ17" s="5"/>
    </row>
    <row r="18" spans="1:63" ht="23.25" x14ac:dyDescent="0.25">
      <c r="A18" s="5"/>
      <c r="B18" s="146"/>
      <c r="C18" s="5"/>
      <c r="D18" s="992" t="s">
        <v>679</v>
      </c>
      <c r="E18" s="992"/>
      <c r="F18" s="992"/>
      <c r="G18" s="992"/>
      <c r="H18" s="992"/>
      <c r="I18" s="992"/>
      <c r="J18" s="992"/>
      <c r="K18" s="992"/>
      <c r="L18" s="992"/>
      <c r="M18" s="992"/>
      <c r="N18" s="992"/>
      <c r="O18" s="970" t="str">
        <f>'Données - Résidentiel'!BQ37</f>
        <v>N.D.</v>
      </c>
      <c r="P18" s="970"/>
      <c r="Q18" s="970"/>
      <c r="R18" s="970"/>
      <c r="S18" s="79"/>
      <c r="T18" s="970" t="str">
        <f>'Données - Résidentiel'!BV37</f>
        <v>N.D.</v>
      </c>
      <c r="U18" s="970"/>
      <c r="V18" s="970"/>
      <c r="W18" s="970"/>
      <c r="X18" s="79"/>
      <c r="Y18" s="970" t="str">
        <f>IF(OR(O18=N.D.,T18=N.D.),N.D.,SUM(O18,T18))</f>
        <v>N.D.</v>
      </c>
      <c r="Z18" s="970"/>
      <c r="AA18" s="970"/>
      <c r="AB18" s="970"/>
      <c r="AC18" s="47"/>
      <c r="AD18" s="146"/>
      <c r="AE18" s="5"/>
      <c r="AF18" s="988" t="e">
        <f>IF($AO$14=Programmation!$P$8,"Toutes les alertes sont désactivées",IF($AO$14=Programmation!$P$7,IF(BA18="0",$BA$14,BA18),IF(AU18=Programmation!$M$8,"Alerte désactivée pour cette matière",IF(AU18="","Veuillez choisir si vous souhaitez désactiver cette alerte",IF(BA18="0",$BA$14,BA18)))))</f>
        <v>#REF!</v>
      </c>
      <c r="AG18" s="988"/>
      <c r="AH18" s="988"/>
      <c r="AI18" s="988"/>
      <c r="AJ18" s="988"/>
      <c r="AK18" s="988"/>
      <c r="AL18" s="988"/>
      <c r="AM18" s="988"/>
      <c r="AN18" s="988"/>
      <c r="AO18" s="988"/>
      <c r="AP18" s="988"/>
      <c r="AQ18" s="988"/>
      <c r="AR18" s="988"/>
      <c r="AS18" s="988"/>
      <c r="AT18" s="28"/>
      <c r="AU18" s="987" t="s">
        <v>304</v>
      </c>
      <c r="AV18" s="987"/>
      <c r="AW18" s="987"/>
      <c r="AX18" s="5"/>
      <c r="AY18" s="40"/>
      <c r="AZ18" s="5"/>
      <c r="BA18" s="5" t="e">
        <f>'Données - CRD'!#REF!</f>
        <v>#REF!</v>
      </c>
      <c r="BB18" s="5"/>
      <c r="BC18" s="5"/>
      <c r="BD18" s="5"/>
      <c r="BE18" s="5"/>
      <c r="BF18" s="5"/>
      <c r="BG18" s="5"/>
      <c r="BH18" s="5"/>
      <c r="BI18" s="5"/>
      <c r="BJ18" s="5"/>
    </row>
    <row r="19" spans="1:63" ht="23.25" x14ac:dyDescent="0.25">
      <c r="A19" s="5"/>
      <c r="B19" s="146"/>
      <c r="C19" s="5"/>
      <c r="D19" s="975" t="str">
        <f>'Données - Résidentiel'!I38</f>
        <v>Métal</v>
      </c>
      <c r="E19" s="975"/>
      <c r="F19" s="975"/>
      <c r="G19" s="975"/>
      <c r="H19" s="975"/>
      <c r="I19" s="975"/>
      <c r="J19" s="975"/>
      <c r="K19" s="975"/>
      <c r="L19" s="975"/>
      <c r="M19" s="975"/>
      <c r="N19" s="975"/>
      <c r="O19" s="991" t="str">
        <f>'Données - Résidentiel'!BQ38</f>
        <v>N.D.</v>
      </c>
      <c r="P19" s="991"/>
      <c r="Q19" s="991"/>
      <c r="R19" s="991"/>
      <c r="S19" s="79"/>
      <c r="T19" s="991" t="str">
        <f>'Données - Résidentiel'!BV38</f>
        <v>N.D.</v>
      </c>
      <c r="U19" s="991"/>
      <c r="V19" s="991"/>
      <c r="W19" s="991"/>
      <c r="X19" s="79"/>
      <c r="Y19" s="991" t="str">
        <f>IF(OR(O19=N.D.,T19=N.D.),N.D.,SUM(O19,T19))</f>
        <v>N.D.</v>
      </c>
      <c r="Z19" s="991"/>
      <c r="AA19" s="991"/>
      <c r="AB19" s="991"/>
      <c r="AC19" s="47"/>
      <c r="AD19" s="146"/>
      <c r="AE19" s="5"/>
      <c r="AF19" s="994"/>
      <c r="AG19" s="994"/>
      <c r="AH19" s="994"/>
      <c r="AI19" s="994"/>
      <c r="AJ19" s="994"/>
      <c r="AK19" s="994"/>
      <c r="AL19" s="994"/>
      <c r="AM19" s="994"/>
      <c r="AN19" s="994"/>
      <c r="AO19" s="994"/>
      <c r="AP19" s="994"/>
      <c r="AQ19" s="994"/>
      <c r="AR19" s="994"/>
      <c r="AS19" s="994"/>
      <c r="AT19" s="5"/>
      <c r="AU19" s="995"/>
      <c r="AV19" s="995"/>
      <c r="AW19" s="995"/>
      <c r="AX19" s="5"/>
      <c r="AY19" s="40"/>
      <c r="AZ19" s="5"/>
      <c r="BA19" s="5"/>
      <c r="BB19" s="5"/>
      <c r="BC19" s="5"/>
      <c r="BD19" s="5"/>
      <c r="BE19" s="5"/>
      <c r="BF19" s="5"/>
      <c r="BG19" s="5"/>
      <c r="BH19" s="5"/>
      <c r="BI19" s="5"/>
      <c r="BJ19" s="5"/>
    </row>
    <row r="20" spans="1:63" ht="23.25" x14ac:dyDescent="0.25">
      <c r="A20" s="5"/>
      <c r="B20" s="146"/>
      <c r="C20" s="5"/>
      <c r="D20" s="975" t="str">
        <f>'Données - Résidentiel'!I39</f>
        <v>Plastique</v>
      </c>
      <c r="E20" s="975"/>
      <c r="F20" s="975"/>
      <c r="G20" s="975"/>
      <c r="H20" s="975"/>
      <c r="I20" s="975"/>
      <c r="J20" s="975"/>
      <c r="K20" s="975"/>
      <c r="L20" s="975"/>
      <c r="M20" s="975"/>
      <c r="N20" s="975"/>
      <c r="O20" s="991" t="str">
        <f>'Données - Résidentiel'!BQ39</f>
        <v>N.D.</v>
      </c>
      <c r="P20" s="991"/>
      <c r="Q20" s="991"/>
      <c r="R20" s="991"/>
      <c r="S20" s="80"/>
      <c r="T20" s="991" t="str">
        <f>'Données - Résidentiel'!BV39</f>
        <v>N.D.</v>
      </c>
      <c r="U20" s="991"/>
      <c r="V20" s="991"/>
      <c r="W20" s="991"/>
      <c r="X20" s="80"/>
      <c r="Y20" s="991" t="str">
        <f>IF(OR(O20=N.D.,T20=N.D.),N.D.,SUM(O20,T20))</f>
        <v>N.D.</v>
      </c>
      <c r="Z20" s="991"/>
      <c r="AA20" s="991"/>
      <c r="AB20" s="991"/>
      <c r="AC20" s="5"/>
      <c r="AD20" s="146"/>
      <c r="AE20" s="5"/>
      <c r="AF20" s="988" t="e">
        <f>IF($AO$14=Programmation!$P$8,"Toutes les alertes sont désactivées",IF($AO$14=Programmation!$P$7,IF(BA20="0",$BA$14,BA20),IF(AU20=Programmation!$M$8,"Alerte désactivée pour cette matière",IF(AU20="","Veuillez choisir si vous souhaitez désactiver cette alerte",IF(BA20="0",$BA$14,BA20)))))</f>
        <v>#REF!</v>
      </c>
      <c r="AG20" s="988"/>
      <c r="AH20" s="988"/>
      <c r="AI20" s="988"/>
      <c r="AJ20" s="988"/>
      <c r="AK20" s="988"/>
      <c r="AL20" s="988"/>
      <c r="AM20" s="988"/>
      <c r="AN20" s="988"/>
      <c r="AO20" s="988"/>
      <c r="AP20" s="988"/>
      <c r="AQ20" s="988"/>
      <c r="AR20" s="988"/>
      <c r="AS20" s="988"/>
      <c r="AT20" s="28"/>
      <c r="AU20" s="987" t="s">
        <v>304</v>
      </c>
      <c r="AV20" s="987"/>
      <c r="AW20" s="987"/>
      <c r="AX20" s="5"/>
      <c r="AY20" s="40"/>
      <c r="AZ20" s="5"/>
      <c r="BA20" s="5" t="e">
        <f>'Données - CRD'!#REF!</f>
        <v>#REF!</v>
      </c>
      <c r="BB20" s="5"/>
      <c r="BC20" s="5"/>
      <c r="BD20" s="5"/>
      <c r="BE20" s="5"/>
      <c r="BF20" s="5"/>
      <c r="BG20" s="5"/>
      <c r="BH20" s="5"/>
      <c r="BI20" s="5"/>
      <c r="BJ20" s="5"/>
    </row>
    <row r="21" spans="1:63" ht="23.25" x14ac:dyDescent="0.25">
      <c r="A21" s="5"/>
      <c r="B21" s="146"/>
      <c r="C21" s="5"/>
      <c r="D21" s="975" t="str">
        <f>'Données - Résidentiel'!I40</f>
        <v>Verre</v>
      </c>
      <c r="E21" s="975"/>
      <c r="F21" s="975"/>
      <c r="G21" s="975"/>
      <c r="H21" s="975"/>
      <c r="I21" s="975"/>
      <c r="J21" s="975"/>
      <c r="K21" s="975"/>
      <c r="L21" s="975"/>
      <c r="M21" s="975"/>
      <c r="N21" s="975"/>
      <c r="O21" s="991" t="str">
        <f>'Données - Résidentiel'!BQ40</f>
        <v>N.D.</v>
      </c>
      <c r="P21" s="991"/>
      <c r="Q21" s="991"/>
      <c r="R21" s="991"/>
      <c r="S21" s="80"/>
      <c r="T21" s="991" t="str">
        <f>'Données - Résidentiel'!BV40</f>
        <v>N.D.</v>
      </c>
      <c r="U21" s="991"/>
      <c r="V21" s="991"/>
      <c r="W21" s="991"/>
      <c r="X21" s="80"/>
      <c r="Y21" s="991" t="str">
        <f>IF(OR(O21=N.D.,T21=N.D.),N.D.,SUM(O21,T21))</f>
        <v>N.D.</v>
      </c>
      <c r="Z21" s="991"/>
      <c r="AA21" s="991"/>
      <c r="AB21" s="991"/>
      <c r="AC21" s="5"/>
      <c r="AD21" s="146"/>
      <c r="AE21" s="5"/>
      <c r="AF21" s="988" t="e">
        <f>IF($AO$14=Programmation!$P$8,"Toutes les alertes sont désactivées",IF($AO$14=Programmation!$P$7,IF(BA21="0",$BA$14,BA21),IF(AU21=Programmation!$M$8,"Alerte désactivée pour cette matière",IF(AU21="","Veuillez choisir si vous souhaitez désactiver cette alerte",IF(BA21="0",$BA$14,BA21)))))</f>
        <v>#REF!</v>
      </c>
      <c r="AG21" s="988"/>
      <c r="AH21" s="988"/>
      <c r="AI21" s="988"/>
      <c r="AJ21" s="988"/>
      <c r="AK21" s="988"/>
      <c r="AL21" s="988"/>
      <c r="AM21" s="988"/>
      <c r="AN21" s="988"/>
      <c r="AO21" s="988"/>
      <c r="AP21" s="988"/>
      <c r="AQ21" s="988"/>
      <c r="AR21" s="988"/>
      <c r="AS21" s="988"/>
      <c r="AT21" s="31"/>
      <c r="AU21" s="987" t="s">
        <v>304</v>
      </c>
      <c r="AV21" s="987"/>
      <c r="AW21" s="987"/>
      <c r="AX21" s="5"/>
      <c r="AY21" s="40"/>
      <c r="AZ21" s="5"/>
      <c r="BA21" s="5" t="e">
        <f>'Données - CRD'!#REF!</f>
        <v>#REF!</v>
      </c>
      <c r="BB21" s="5"/>
      <c r="BC21" s="5"/>
      <c r="BD21" s="5"/>
      <c r="BE21" s="5"/>
      <c r="BF21" s="5"/>
      <c r="BG21" s="5"/>
      <c r="BH21" s="5"/>
      <c r="BI21" s="5"/>
      <c r="BJ21" s="5"/>
    </row>
    <row r="22" spans="1:63" ht="11.25" customHeight="1" x14ac:dyDescent="0.25">
      <c r="A22" s="5"/>
      <c r="B22" s="146"/>
      <c r="C22" s="5"/>
      <c r="D22" s="19"/>
      <c r="E22" s="19"/>
      <c r="F22" s="19"/>
      <c r="G22" s="19"/>
      <c r="H22" s="19"/>
      <c r="I22" s="19"/>
      <c r="J22" s="19"/>
      <c r="K22" s="19"/>
      <c r="L22" s="19"/>
      <c r="M22" s="19"/>
      <c r="N22" s="19"/>
      <c r="O22" s="81"/>
      <c r="P22" s="81"/>
      <c r="Q22" s="81"/>
      <c r="R22" s="81"/>
      <c r="S22" s="81"/>
      <c r="T22" s="81"/>
      <c r="U22" s="81"/>
      <c r="V22" s="81"/>
      <c r="W22" s="81"/>
      <c r="X22" s="81"/>
      <c r="Y22" s="81"/>
      <c r="Z22" s="81"/>
      <c r="AA22" s="81"/>
      <c r="AB22" s="81"/>
      <c r="AC22" s="5"/>
      <c r="AD22" s="146"/>
      <c r="AE22" s="5"/>
      <c r="AF22" s="5"/>
      <c r="AG22" s="5"/>
      <c r="AH22" s="5"/>
      <c r="AI22" s="5"/>
      <c r="AJ22" s="5"/>
      <c r="AK22" s="5"/>
      <c r="AL22" s="5"/>
      <c r="AM22" s="5"/>
      <c r="AN22" s="5"/>
      <c r="AO22" s="5"/>
      <c r="AP22" s="5"/>
      <c r="AQ22" s="5"/>
      <c r="AR22" s="5"/>
      <c r="AS22" s="5"/>
      <c r="AT22" s="5"/>
      <c r="AU22" s="5"/>
      <c r="AV22" s="5"/>
      <c r="AW22" s="5"/>
      <c r="AX22" s="5"/>
      <c r="AY22" s="40"/>
      <c r="AZ22" s="5"/>
      <c r="BA22" s="5"/>
      <c r="BB22" s="5"/>
      <c r="BC22" s="5"/>
      <c r="BD22" s="5"/>
      <c r="BE22" s="5"/>
      <c r="BF22" s="5"/>
      <c r="BG22" s="5"/>
      <c r="BH22" s="5"/>
      <c r="BI22" s="5"/>
      <c r="BJ22" s="5"/>
    </row>
    <row r="23" spans="1:63" ht="23.25" x14ac:dyDescent="0.25">
      <c r="A23" s="5"/>
      <c r="B23" s="146"/>
      <c r="C23" s="5"/>
      <c r="D23" s="975" t="str">
        <f>'Données - Résidentiel'!I42</f>
        <v>Total</v>
      </c>
      <c r="E23" s="975"/>
      <c r="F23" s="975"/>
      <c r="G23" s="975"/>
      <c r="H23" s="975"/>
      <c r="I23" s="975"/>
      <c r="J23" s="975"/>
      <c r="K23" s="975"/>
      <c r="L23" s="975"/>
      <c r="M23" s="975"/>
      <c r="N23" s="975"/>
      <c r="O23" s="974" t="str">
        <f>IF(OR(O18=N.D.,O19=N.D.,O20=N.D.,O21=N.D.),N.D.,SUM(O18:O21))</f>
        <v>N.D.</v>
      </c>
      <c r="P23" s="974"/>
      <c r="Q23" s="974"/>
      <c r="R23" s="974"/>
      <c r="S23" s="82"/>
      <c r="T23" s="974" t="str">
        <f>IF(OR(T18=N.D.,T19=N.D.,T20=N.D.,T21=N.D.),N.D.,SUM(T18:T21))</f>
        <v>N.D.</v>
      </c>
      <c r="U23" s="974"/>
      <c r="V23" s="974"/>
      <c r="W23" s="974"/>
      <c r="X23" s="82"/>
      <c r="Y23" s="974" t="str">
        <f>IF(OR(O23=N.D.,T23=N.D.),N.D.,SUM(O23,T23))</f>
        <v>N.D.</v>
      </c>
      <c r="Z23" s="974"/>
      <c r="AA23" s="974"/>
      <c r="AB23" s="974"/>
      <c r="AC23" s="51"/>
      <c r="AD23" s="146"/>
      <c r="AE23" s="5"/>
      <c r="AF23" s="5"/>
      <c r="AG23" s="5"/>
      <c r="AH23" s="5"/>
      <c r="AI23" s="5"/>
      <c r="AJ23" s="5"/>
      <c r="AK23" s="5"/>
      <c r="AL23" s="5"/>
      <c r="AM23" s="5"/>
      <c r="AN23" s="5"/>
      <c r="AO23" s="5"/>
      <c r="AP23" s="5"/>
      <c r="AQ23" s="5"/>
      <c r="AR23" s="5"/>
      <c r="AS23" s="990"/>
      <c r="AT23" s="990"/>
      <c r="AU23" s="5"/>
      <c r="AV23" s="5"/>
      <c r="AW23" s="5"/>
      <c r="AX23" s="5"/>
      <c r="AY23" s="40"/>
      <c r="AZ23" s="5"/>
      <c r="BA23" s="5"/>
      <c r="BB23" s="5"/>
      <c r="BC23" s="5"/>
      <c r="BD23" s="5"/>
      <c r="BE23" s="5"/>
      <c r="BF23" s="5"/>
      <c r="BG23" s="5"/>
      <c r="BH23" s="5"/>
      <c r="BI23" s="5"/>
      <c r="BJ23" s="5"/>
    </row>
    <row r="24" spans="1:63" ht="37.5" customHeight="1" x14ac:dyDescent="0.25">
      <c r="A24" s="5"/>
      <c r="B24" s="146"/>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146"/>
      <c r="AE24" s="5"/>
      <c r="AF24" s="5"/>
      <c r="AG24" s="5"/>
      <c r="AH24" s="5"/>
      <c r="AI24" s="5"/>
      <c r="AJ24" s="5"/>
      <c r="AK24" s="5"/>
      <c r="AL24" s="5"/>
      <c r="AM24" s="5"/>
      <c r="AN24" s="5"/>
      <c r="AO24" s="5"/>
      <c r="AP24" s="5"/>
      <c r="AQ24" s="5"/>
      <c r="AR24" s="5"/>
      <c r="AS24" s="5"/>
      <c r="AT24" s="5"/>
      <c r="AU24" s="5"/>
      <c r="AV24" s="5"/>
      <c r="AW24" s="5"/>
      <c r="AX24" s="5"/>
      <c r="AY24" s="40"/>
      <c r="AZ24" s="5"/>
      <c r="BA24" s="5"/>
      <c r="BB24" s="5"/>
      <c r="BC24" s="5"/>
      <c r="BD24" s="5"/>
      <c r="BE24" s="5"/>
      <c r="BF24" s="5"/>
      <c r="BG24" s="5"/>
      <c r="BH24" s="5"/>
      <c r="BI24" s="5"/>
      <c r="BJ24" s="5"/>
    </row>
    <row r="25" spans="1:63" ht="51" customHeight="1" x14ac:dyDescent="0.25">
      <c r="A25" s="5"/>
      <c r="B25" s="146"/>
      <c r="C25" s="5"/>
      <c r="D25" s="972" t="str">
        <f>BK25&amp;retour&amp;utilisateur</f>
        <v>MATIÈRES ORGANIQUES DES UNITÉS RÉSIDENTIELLES 
    (Données de l'utilisateur)</v>
      </c>
      <c r="E25" s="972"/>
      <c r="F25" s="972"/>
      <c r="G25" s="972"/>
      <c r="H25" s="972"/>
      <c r="I25" s="972"/>
      <c r="J25" s="972"/>
      <c r="K25" s="972"/>
      <c r="L25" s="972"/>
      <c r="M25" s="972"/>
      <c r="N25" s="972"/>
      <c r="O25" s="971" t="str">
        <f>IF(OR(O33=N.D.,T33=N.D.,Y33=N.D.),erreur2&amp;'Données - Résidentiel'!I51,"")</f>
        <v>Les données ci-dessous ne peuvent pas être complétées. Vérifiez la réponse à la question 2.3.</v>
      </c>
      <c r="P25" s="971"/>
      <c r="Q25" s="971"/>
      <c r="R25" s="971"/>
      <c r="S25" s="971"/>
      <c r="T25" s="971"/>
      <c r="U25" s="971"/>
      <c r="V25" s="971"/>
      <c r="W25" s="971"/>
      <c r="X25" s="971"/>
      <c r="Y25" s="971"/>
      <c r="Z25" s="971"/>
      <c r="AA25" s="971"/>
      <c r="AB25" s="971"/>
      <c r="AC25" s="5"/>
      <c r="AD25" s="146"/>
      <c r="AE25" s="5"/>
      <c r="AF25" s="5"/>
      <c r="AG25" s="5"/>
      <c r="AH25" s="5"/>
      <c r="AI25" s="5"/>
      <c r="AJ25" s="5"/>
      <c r="AK25" s="5"/>
      <c r="AL25" s="5"/>
      <c r="AM25" s="5"/>
      <c r="AN25" s="5"/>
      <c r="AO25" s="5"/>
      <c r="AP25" s="5"/>
      <c r="AQ25" s="5"/>
      <c r="AR25" s="5"/>
      <c r="AS25" s="5"/>
      <c r="AT25" s="5"/>
      <c r="AU25" s="5"/>
      <c r="AV25" s="5"/>
      <c r="AW25" s="5"/>
      <c r="AX25" s="5"/>
      <c r="AY25" s="40"/>
      <c r="AZ25" s="5"/>
      <c r="BA25" s="5"/>
      <c r="BB25" s="5"/>
      <c r="BC25" s="5"/>
      <c r="BD25" s="5"/>
      <c r="BE25" s="5"/>
      <c r="BF25" s="5"/>
      <c r="BG25" s="5"/>
      <c r="BH25" s="5"/>
      <c r="BI25" s="5"/>
      <c r="BJ25" s="5"/>
      <c r="BK25" t="str">
        <f>UPPER('Données - Résidentiel'!J51)</f>
        <v xml:space="preserve">MATIÈRES ORGANIQUES DES UNITÉS RÉSIDENTIELLES </v>
      </c>
    </row>
    <row r="26" spans="1:63" ht="6" hidden="1" customHeight="1" x14ac:dyDescent="0.25">
      <c r="A26" s="5"/>
      <c r="B26" s="146"/>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146"/>
      <c r="AE26" s="5"/>
      <c r="AF26" s="5"/>
      <c r="AG26" s="5"/>
      <c r="AH26" s="5"/>
      <c r="AI26" s="5"/>
      <c r="AJ26" s="5"/>
      <c r="AK26" s="5"/>
      <c r="AL26" s="5"/>
      <c r="AM26" s="5"/>
      <c r="AN26" s="5"/>
      <c r="AO26" s="5"/>
      <c r="AP26" s="5"/>
      <c r="AQ26" s="5"/>
      <c r="AR26" s="5"/>
      <c r="AS26" s="5"/>
      <c r="AT26" s="5"/>
      <c r="AU26" s="5"/>
      <c r="AV26" s="5"/>
      <c r="AW26" s="5"/>
      <c r="AX26" s="5"/>
      <c r="AY26" s="40"/>
      <c r="AZ26" s="5"/>
      <c r="BA26" s="5"/>
      <c r="BB26" s="5"/>
      <c r="BC26" s="5"/>
      <c r="BD26" s="5"/>
      <c r="BE26" s="5"/>
      <c r="BF26" s="5"/>
      <c r="BG26" s="5"/>
      <c r="BH26" s="5"/>
      <c r="BI26" s="5"/>
      <c r="BJ26" s="5"/>
    </row>
    <row r="27" spans="1:63" ht="19.5" customHeight="1" x14ac:dyDescent="0.25">
      <c r="A27" s="5"/>
      <c r="B27" s="146"/>
      <c r="C27" s="5"/>
      <c r="D27" s="5"/>
      <c r="E27" s="5"/>
      <c r="F27" s="5"/>
      <c r="G27" s="5"/>
      <c r="H27" s="5"/>
      <c r="I27" s="5"/>
      <c r="J27" s="5"/>
      <c r="K27" s="5"/>
      <c r="L27" s="5"/>
      <c r="M27" s="5"/>
      <c r="N27" s="5"/>
      <c r="O27" s="715" t="s">
        <v>285</v>
      </c>
      <c r="P27" s="715"/>
      <c r="Q27" s="715"/>
      <c r="R27" s="715"/>
      <c r="S27" s="26"/>
      <c r="T27" s="715" t="s">
        <v>286</v>
      </c>
      <c r="U27" s="715"/>
      <c r="V27" s="715"/>
      <c r="W27" s="715"/>
      <c r="X27" s="26"/>
      <c r="Y27" s="715" t="s">
        <v>287</v>
      </c>
      <c r="Z27" s="715"/>
      <c r="AA27" s="715"/>
      <c r="AB27" s="715"/>
      <c r="AC27" s="5"/>
      <c r="AD27" s="146"/>
      <c r="AE27" s="5"/>
      <c r="AF27" s="5"/>
      <c r="AG27" s="5"/>
      <c r="AH27" s="5"/>
      <c r="AI27" s="5"/>
      <c r="AJ27" s="5"/>
      <c r="AK27" s="5"/>
      <c r="AL27" s="5"/>
      <c r="AM27" s="5"/>
      <c r="AN27" s="5"/>
      <c r="AO27" s="5"/>
      <c r="AP27" s="5"/>
      <c r="AQ27" s="5"/>
      <c r="AR27" s="5"/>
      <c r="AS27" s="5"/>
      <c r="AT27" s="5"/>
      <c r="AU27" s="5"/>
      <c r="AV27" s="5"/>
      <c r="AW27" s="5"/>
      <c r="AX27" s="5"/>
      <c r="AY27" s="40"/>
      <c r="AZ27" s="5"/>
      <c r="BA27" s="5"/>
      <c r="BB27" s="5"/>
      <c r="BC27" s="5"/>
      <c r="BD27" s="5"/>
      <c r="BE27" s="5"/>
      <c r="BF27" s="5"/>
      <c r="BG27" s="5"/>
      <c r="BH27" s="5"/>
      <c r="BI27" s="5"/>
      <c r="BJ27" s="5"/>
    </row>
    <row r="28" spans="1:63" ht="23.25" customHeight="1" x14ac:dyDescent="0.25">
      <c r="A28" s="5"/>
      <c r="B28" s="146"/>
      <c r="C28" s="5"/>
      <c r="D28" s="968" t="str">
        <f>'Données - Résidentiel'!I56</f>
        <v>Branches et sapins de Noël</v>
      </c>
      <c r="E28" s="968"/>
      <c r="F28" s="968"/>
      <c r="G28" s="968"/>
      <c r="H28" s="968"/>
      <c r="I28" s="968"/>
      <c r="J28" s="968"/>
      <c r="K28" s="968"/>
      <c r="L28" s="968"/>
      <c r="M28" s="968"/>
      <c r="N28" s="968"/>
      <c r="O28" s="969" t="str">
        <f>'Données - Résidentiel'!BQ65</f>
        <v/>
      </c>
      <c r="P28" s="969"/>
      <c r="Q28" s="969"/>
      <c r="R28" s="969"/>
      <c r="S28" s="65"/>
      <c r="T28" s="969" t="str">
        <f>'Données - Résidentiel'!BV65</f>
        <v/>
      </c>
      <c r="U28" s="969"/>
      <c r="V28" s="969"/>
      <c r="W28" s="969"/>
      <c r="X28" s="65"/>
      <c r="Y28" s="969" t="str">
        <f>'Données - Résidentiel'!CA65</f>
        <v/>
      </c>
      <c r="Z28" s="969"/>
      <c r="AA28" s="969"/>
      <c r="AB28" s="969"/>
      <c r="AC28" s="5"/>
      <c r="AD28" s="146"/>
      <c r="AE28" s="5"/>
      <c r="AF28" s="5"/>
      <c r="AG28" s="5"/>
      <c r="AH28" s="5"/>
      <c r="AI28" s="5"/>
      <c r="AJ28" s="5"/>
      <c r="AK28" s="5"/>
      <c r="AL28" s="5"/>
      <c r="AM28" s="5"/>
      <c r="AN28" s="5"/>
      <c r="AO28" s="5"/>
      <c r="AP28" s="5"/>
      <c r="AQ28" s="5"/>
      <c r="AR28" s="5"/>
      <c r="AS28" s="5"/>
      <c r="AT28" s="5"/>
      <c r="AU28" s="5"/>
      <c r="AV28" s="5"/>
      <c r="AW28" s="5"/>
      <c r="AX28" s="5"/>
      <c r="AY28" s="40"/>
      <c r="AZ28" s="5"/>
      <c r="BA28" s="5"/>
      <c r="BB28" s="5"/>
      <c r="BC28" s="5"/>
      <c r="BD28" s="5"/>
      <c r="BE28" s="5"/>
      <c r="BF28" s="5"/>
      <c r="BG28" s="5"/>
      <c r="BH28" s="5"/>
      <c r="BI28" s="5"/>
      <c r="BJ28" s="5"/>
    </row>
    <row r="29" spans="1:63" ht="23.25" customHeight="1" x14ac:dyDescent="0.25">
      <c r="A29" s="5"/>
      <c r="B29" s="146"/>
      <c r="C29" s="5"/>
      <c r="D29" s="973" t="str">
        <f>'Données - Résidentiel'!I57</f>
        <v>Résidus verts</v>
      </c>
      <c r="E29" s="973"/>
      <c r="F29" s="973"/>
      <c r="G29" s="973"/>
      <c r="H29" s="973"/>
      <c r="I29" s="973"/>
      <c r="J29" s="973"/>
      <c r="K29" s="973"/>
      <c r="L29" s="973"/>
      <c r="M29" s="973"/>
      <c r="N29" s="973"/>
      <c r="O29" s="969" t="str">
        <f>'Données - Résidentiel'!BQ66</f>
        <v/>
      </c>
      <c r="P29" s="969"/>
      <c r="Q29" s="969"/>
      <c r="R29" s="969"/>
      <c r="S29" s="65"/>
      <c r="T29" s="969" t="str">
        <f>'Données - Résidentiel'!BV66</f>
        <v/>
      </c>
      <c r="U29" s="969"/>
      <c r="V29" s="969"/>
      <c r="W29" s="969"/>
      <c r="X29" s="65"/>
      <c r="Y29" s="969" t="str">
        <f>'Données - Résidentiel'!CA66</f>
        <v/>
      </c>
      <c r="Z29" s="969"/>
      <c r="AA29" s="969"/>
      <c r="AB29" s="969"/>
      <c r="AC29" s="5"/>
      <c r="AD29" s="146"/>
      <c r="AE29" s="5"/>
      <c r="AF29" s="5"/>
      <c r="AG29" s="5"/>
      <c r="AH29" s="5"/>
      <c r="AI29" s="5"/>
      <c r="AJ29" s="5"/>
      <c r="AK29" s="5"/>
      <c r="AL29" s="5"/>
      <c r="AM29" s="5"/>
      <c r="AN29" s="5"/>
      <c r="AO29" s="5"/>
      <c r="AP29" s="5"/>
      <c r="AQ29" s="5"/>
      <c r="AR29" s="5"/>
      <c r="AS29" s="5"/>
      <c r="AT29" s="5"/>
      <c r="AU29" s="5"/>
      <c r="AV29" s="5"/>
      <c r="AW29" s="5"/>
      <c r="AX29" s="5"/>
      <c r="AY29" s="40"/>
      <c r="AZ29" s="5"/>
      <c r="BA29" s="5"/>
      <c r="BB29" s="5"/>
      <c r="BC29" s="5"/>
      <c r="BD29" s="5"/>
      <c r="BE29" s="5"/>
      <c r="BF29" s="5"/>
      <c r="BG29" s="5"/>
      <c r="BH29" s="5"/>
      <c r="BI29" s="5"/>
      <c r="BJ29" s="5"/>
    </row>
    <row r="30" spans="1:63" ht="23.25" customHeight="1" x14ac:dyDescent="0.25">
      <c r="A30" s="5"/>
      <c r="B30" s="146"/>
      <c r="C30" s="5"/>
      <c r="D30" s="973" t="str">
        <f>'Données - Résidentiel'!I58</f>
        <v>Résidus alimentaires</v>
      </c>
      <c r="E30" s="973"/>
      <c r="F30" s="973"/>
      <c r="G30" s="973"/>
      <c r="H30" s="973"/>
      <c r="I30" s="973"/>
      <c r="J30" s="973"/>
      <c r="K30" s="973"/>
      <c r="L30" s="973"/>
      <c r="M30" s="973"/>
      <c r="N30" s="973"/>
      <c r="O30" s="969" t="str">
        <f>'Données - Résidentiel'!BQ67</f>
        <v/>
      </c>
      <c r="P30" s="969"/>
      <c r="Q30" s="969"/>
      <c r="R30" s="969"/>
      <c r="S30" s="65"/>
      <c r="T30" s="969" t="str">
        <f>'Données - Résidentiel'!BV67</f>
        <v/>
      </c>
      <c r="U30" s="969"/>
      <c r="V30" s="969"/>
      <c r="W30" s="969"/>
      <c r="X30" s="80"/>
      <c r="Y30" s="969" t="str">
        <f>'Données - Résidentiel'!CA67</f>
        <v/>
      </c>
      <c r="Z30" s="969"/>
      <c r="AA30" s="969"/>
      <c r="AB30" s="969"/>
      <c r="AC30" s="5"/>
      <c r="AD30" s="146"/>
      <c r="AE30" s="5"/>
      <c r="AF30" s="5"/>
      <c r="AG30" s="5"/>
      <c r="AH30" s="5"/>
      <c r="AI30" s="5"/>
      <c r="AJ30" s="5"/>
      <c r="AK30" s="5"/>
      <c r="AL30" s="5"/>
      <c r="AM30" s="5"/>
      <c r="AN30" s="5"/>
      <c r="AO30" s="5"/>
      <c r="AP30" s="5"/>
      <c r="AQ30" s="5"/>
      <c r="AR30" s="5"/>
      <c r="AS30" s="5"/>
      <c r="AT30" s="5"/>
      <c r="AU30" s="5"/>
      <c r="AV30" s="5"/>
      <c r="AW30" s="5"/>
      <c r="AX30" s="5"/>
      <c r="AY30" s="40"/>
      <c r="AZ30" s="5"/>
      <c r="BA30" s="5"/>
      <c r="BB30" s="5"/>
      <c r="BC30" s="5"/>
      <c r="BD30" s="5"/>
      <c r="BE30" s="5"/>
      <c r="BF30" s="5"/>
      <c r="BG30" s="5"/>
      <c r="BH30" s="5"/>
      <c r="BI30" s="5"/>
      <c r="BJ30" s="5"/>
    </row>
    <row r="31" spans="1:63" ht="23.25" customHeight="1" x14ac:dyDescent="0.25">
      <c r="A31" s="5"/>
      <c r="B31" s="146"/>
      <c r="C31" s="5"/>
      <c r="D31" s="973" t="str">
        <f>'Données - Résidentiel'!I59</f>
        <v>Autres résidus organiques</v>
      </c>
      <c r="E31" s="973"/>
      <c r="F31" s="973"/>
      <c r="G31" s="973"/>
      <c r="H31" s="973"/>
      <c r="I31" s="973"/>
      <c r="J31" s="973"/>
      <c r="K31" s="973"/>
      <c r="L31" s="973"/>
      <c r="M31" s="973"/>
      <c r="N31" s="973"/>
      <c r="O31" s="969" t="str">
        <f>'Données - Résidentiel'!BQ68</f>
        <v/>
      </c>
      <c r="P31" s="969"/>
      <c r="Q31" s="969"/>
      <c r="R31" s="969"/>
      <c r="S31" s="28"/>
      <c r="T31" s="969" t="str">
        <f>'Données - Résidentiel'!BV68</f>
        <v/>
      </c>
      <c r="U31" s="969"/>
      <c r="V31" s="969"/>
      <c r="W31" s="969"/>
      <c r="X31" s="28"/>
      <c r="Y31" s="969" t="str">
        <f>'Données - Résidentiel'!CA68</f>
        <v/>
      </c>
      <c r="Z31" s="969"/>
      <c r="AA31" s="969"/>
      <c r="AB31" s="969"/>
      <c r="AC31" s="5"/>
      <c r="AD31" s="146"/>
      <c r="AE31" s="5"/>
      <c r="AF31" s="5"/>
      <c r="AG31" s="5"/>
      <c r="AH31" s="5"/>
      <c r="AI31" s="5"/>
      <c r="AJ31" s="5"/>
      <c r="AK31" s="5"/>
      <c r="AL31" s="5"/>
      <c r="AM31" s="5"/>
      <c r="AN31" s="5"/>
      <c r="AO31" s="5"/>
      <c r="AP31" s="5"/>
      <c r="AQ31" s="5"/>
      <c r="AR31" s="5"/>
      <c r="AS31" s="5"/>
      <c r="AT31" s="5"/>
      <c r="AU31" s="5"/>
      <c r="AV31" s="5"/>
      <c r="AW31" s="5"/>
      <c r="AX31" s="5"/>
      <c r="AY31" s="40"/>
      <c r="AZ31" s="5"/>
      <c r="BA31" s="5"/>
      <c r="BB31" s="5"/>
      <c r="BC31" s="5"/>
      <c r="BD31" s="5"/>
      <c r="BE31" s="5"/>
      <c r="BF31" s="5"/>
      <c r="BG31" s="5"/>
      <c r="BH31" s="5"/>
      <c r="BI31" s="5"/>
      <c r="BJ31" s="5" t="str">
        <f>IF(COUNTIF(O31:AB31,N.D.)&gt;0,'Données - ICI'!J169,"")</f>
        <v/>
      </c>
    </row>
    <row r="32" spans="1:63" ht="10.5" customHeight="1" x14ac:dyDescent="0.25">
      <c r="A32" s="5"/>
      <c r="B32" s="146"/>
      <c r="C32" s="5"/>
      <c r="D32" s="103"/>
      <c r="E32" s="103"/>
      <c r="F32" s="103"/>
      <c r="G32" s="103"/>
      <c r="H32" s="103"/>
      <c r="I32" s="103"/>
      <c r="J32" s="103"/>
      <c r="K32" s="103"/>
      <c r="L32" s="103"/>
      <c r="M32" s="103"/>
      <c r="N32" s="103"/>
      <c r="O32" s="5"/>
      <c r="P32" s="5"/>
      <c r="Q32" s="5"/>
      <c r="R32" s="5"/>
      <c r="S32" s="5"/>
      <c r="T32" s="5"/>
      <c r="U32" s="5"/>
      <c r="V32" s="5"/>
      <c r="W32" s="5"/>
      <c r="X32" s="5"/>
      <c r="Y32" s="5"/>
      <c r="Z32" s="5"/>
      <c r="AA32" s="5"/>
      <c r="AB32" s="5"/>
      <c r="AC32" s="5"/>
      <c r="AD32" s="146"/>
      <c r="AE32" s="5"/>
      <c r="AF32" s="5"/>
      <c r="AG32" s="5"/>
      <c r="AH32" s="5"/>
      <c r="AI32" s="5"/>
      <c r="AJ32" s="5"/>
      <c r="AK32" s="5"/>
      <c r="AL32" s="5"/>
      <c r="AM32" s="5"/>
      <c r="AN32" s="5"/>
      <c r="AO32" s="5"/>
      <c r="AP32" s="5"/>
      <c r="AQ32" s="5"/>
      <c r="AR32" s="5"/>
      <c r="AS32" s="5"/>
      <c r="AT32" s="5"/>
      <c r="AU32" s="5"/>
      <c r="AV32" s="5"/>
      <c r="AW32" s="5"/>
      <c r="AX32" s="5"/>
      <c r="AY32" s="40"/>
      <c r="AZ32" s="5"/>
      <c r="BA32" s="5"/>
      <c r="BB32" s="5"/>
      <c r="BC32" s="5"/>
      <c r="BD32" s="5"/>
      <c r="BE32" s="5"/>
      <c r="BF32" s="5"/>
      <c r="BG32" s="5"/>
      <c r="BH32" s="5"/>
      <c r="BI32" s="5"/>
      <c r="BJ32" s="5"/>
    </row>
    <row r="33" spans="1:63" ht="23.25" x14ac:dyDescent="0.25">
      <c r="A33" s="5"/>
      <c r="B33" s="146"/>
      <c r="C33" s="5"/>
      <c r="D33" s="973" t="str">
        <f>'Données - Résidentiel'!I61</f>
        <v>Total</v>
      </c>
      <c r="E33" s="973"/>
      <c r="F33" s="973"/>
      <c r="G33" s="973"/>
      <c r="H33" s="973"/>
      <c r="I33" s="973"/>
      <c r="J33" s="973"/>
      <c r="K33" s="973"/>
      <c r="L33" s="973"/>
      <c r="M33" s="973"/>
      <c r="N33" s="973"/>
      <c r="O33" s="974" t="str">
        <f>'Données - Résidentiel'!BQ70</f>
        <v>N.D.</v>
      </c>
      <c r="P33" s="974"/>
      <c r="Q33" s="974"/>
      <c r="R33" s="974"/>
      <c r="S33" s="82"/>
      <c r="T33" s="974" t="str">
        <f>'Données - Résidentiel'!BV70</f>
        <v>N.D.</v>
      </c>
      <c r="U33" s="974"/>
      <c r="V33" s="974"/>
      <c r="W33" s="974"/>
      <c r="X33" s="82"/>
      <c r="Y33" s="974" t="str">
        <f>'Données - Résidentiel'!CA70</f>
        <v>N.D.</v>
      </c>
      <c r="Z33" s="974"/>
      <c r="AA33" s="974"/>
      <c r="AB33" s="974"/>
      <c r="AC33" s="5"/>
      <c r="AD33" s="146"/>
      <c r="AE33" s="5"/>
      <c r="AF33" s="5"/>
      <c r="AG33" s="5"/>
      <c r="AH33" s="5"/>
      <c r="AI33" s="5"/>
      <c r="AJ33" s="5"/>
      <c r="AK33" s="5"/>
      <c r="AL33" s="5"/>
      <c r="AM33" s="5"/>
      <c r="AN33" s="5"/>
      <c r="AO33" s="5"/>
      <c r="AP33" s="5"/>
      <c r="AQ33" s="5"/>
      <c r="AR33" s="5"/>
      <c r="AS33" s="5"/>
      <c r="AT33" s="5"/>
      <c r="AU33" s="5"/>
      <c r="AV33" s="5"/>
      <c r="AW33" s="5"/>
      <c r="AX33" s="5"/>
      <c r="AY33" s="40"/>
      <c r="AZ33" s="5"/>
      <c r="BA33" s="5"/>
      <c r="BB33" s="5"/>
      <c r="BC33" s="5"/>
      <c r="BD33" s="5"/>
      <c r="BE33" s="5"/>
      <c r="BF33" s="5"/>
      <c r="BG33" s="5"/>
      <c r="BH33" s="5"/>
      <c r="BI33" s="5"/>
      <c r="BJ33" s="5"/>
    </row>
    <row r="34" spans="1:63" ht="22.5" customHeight="1" x14ac:dyDescent="0.25">
      <c r="A34" s="5"/>
      <c r="B34" s="146"/>
      <c r="C34" s="5"/>
      <c r="D34" s="103"/>
      <c r="E34" s="103"/>
      <c r="F34" s="103"/>
      <c r="G34" s="103"/>
      <c r="H34" s="103"/>
      <c r="I34" s="103"/>
      <c r="J34" s="103"/>
      <c r="K34" s="103"/>
      <c r="L34" s="103"/>
      <c r="M34" s="103"/>
      <c r="N34" s="103"/>
      <c r="O34" s="984" t="str">
        <f>IF(COUNTIF(O28:AB33,N.A.)&gt;0,"N.A.  Non applicable","")</f>
        <v/>
      </c>
      <c r="P34" s="984"/>
      <c r="Q34" s="984"/>
      <c r="R34" s="984"/>
      <c r="S34" s="984"/>
      <c r="T34" s="984"/>
      <c r="U34" s="984"/>
      <c r="V34" s="984"/>
      <c r="W34" s="984"/>
      <c r="X34" s="984"/>
      <c r="Y34" s="984"/>
      <c r="Z34" s="984"/>
      <c r="AA34" s="984"/>
      <c r="AB34" s="984"/>
      <c r="AC34" s="5"/>
      <c r="AD34" s="146"/>
      <c r="AE34" s="5"/>
      <c r="AF34" s="5"/>
      <c r="AG34" s="5"/>
      <c r="AH34" s="5"/>
      <c r="AI34" s="5"/>
      <c r="AJ34" s="5"/>
      <c r="AK34" s="5"/>
      <c r="AL34" s="5"/>
      <c r="AM34" s="5"/>
      <c r="AN34" s="5"/>
      <c r="AO34" s="5"/>
      <c r="AP34" s="5"/>
      <c r="AQ34" s="5"/>
      <c r="AR34" s="5"/>
      <c r="AS34" s="5"/>
      <c r="AT34" s="5"/>
      <c r="AU34" s="5"/>
      <c r="AV34" s="5"/>
      <c r="AW34" s="5"/>
      <c r="AX34" s="5"/>
      <c r="AY34" s="40"/>
      <c r="AZ34" s="5"/>
      <c r="BA34" s="5"/>
      <c r="BB34" s="5"/>
      <c r="BC34" s="5"/>
      <c r="BD34" s="5"/>
      <c r="BE34" s="5"/>
      <c r="BF34" s="5"/>
      <c r="BG34" s="5"/>
      <c r="BH34" s="5"/>
      <c r="BI34" s="5"/>
      <c r="BJ34" s="5"/>
    </row>
    <row r="35" spans="1:63" ht="15" customHeight="1" x14ac:dyDescent="0.25">
      <c r="A35" s="5"/>
      <c r="B35" s="146"/>
      <c r="C35" s="5"/>
      <c r="D35" s="103"/>
      <c r="E35" s="103"/>
      <c r="F35" s="103"/>
      <c r="G35" s="103"/>
      <c r="H35" s="103"/>
      <c r="I35" s="103"/>
      <c r="J35" s="103"/>
      <c r="K35" s="103"/>
      <c r="L35" s="103"/>
      <c r="M35" s="103"/>
      <c r="N35" s="103"/>
      <c r="O35" s="5"/>
      <c r="P35" s="5"/>
      <c r="Q35" s="5"/>
      <c r="R35" s="5"/>
      <c r="S35" s="5"/>
      <c r="T35" s="5"/>
      <c r="U35" s="5"/>
      <c r="V35" s="5"/>
      <c r="W35" s="5"/>
      <c r="X35" s="5"/>
      <c r="Y35" s="5"/>
      <c r="Z35" s="5"/>
      <c r="AA35" s="5"/>
      <c r="AB35" s="5"/>
      <c r="AC35" s="5"/>
      <c r="AD35" s="146"/>
      <c r="AE35" s="5"/>
      <c r="AF35" s="5"/>
      <c r="AG35" s="5"/>
      <c r="AH35" s="5"/>
      <c r="AI35" s="5"/>
      <c r="AJ35" s="5"/>
      <c r="AK35" s="5"/>
      <c r="AL35" s="5"/>
      <c r="AM35" s="5"/>
      <c r="AN35" s="5"/>
      <c r="AO35" s="5"/>
      <c r="AP35" s="5"/>
      <c r="AQ35" s="5"/>
      <c r="AR35" s="5"/>
      <c r="AS35" s="5"/>
      <c r="AT35" s="5"/>
      <c r="AU35" s="5"/>
      <c r="AV35" s="5"/>
      <c r="AW35" s="5"/>
      <c r="AX35" s="5"/>
      <c r="AY35" s="40"/>
      <c r="AZ35" s="5"/>
      <c r="BA35" s="5"/>
      <c r="BB35" s="5"/>
      <c r="BC35" s="5"/>
      <c r="BD35" s="5"/>
      <c r="BE35" s="5"/>
      <c r="BF35" s="5"/>
      <c r="BG35" s="5"/>
      <c r="BH35" s="5"/>
      <c r="BI35" s="5"/>
      <c r="BJ35" s="5"/>
    </row>
    <row r="36" spans="1:63" ht="33" customHeight="1" x14ac:dyDescent="0.25">
      <c r="A36" s="5"/>
      <c r="B36" s="146"/>
      <c r="C36" s="5"/>
      <c r="D36" s="972" t="str">
        <f>IF(res_utiliser_boues=menu_utilisateur,BK36&amp;retour&amp;utilisateur,BK36&amp;retour&amp;outil)</f>
        <v>BOUES MUNICIPALES
    (Données de l'outil)</v>
      </c>
      <c r="E36" s="972"/>
      <c r="F36" s="972"/>
      <c r="G36" s="972"/>
      <c r="H36" s="972"/>
      <c r="I36" s="972"/>
      <c r="J36" s="972"/>
      <c r="K36" s="972"/>
      <c r="L36" s="972"/>
      <c r="M36" s="972"/>
      <c r="N36" s="972"/>
      <c r="O36" s="971" t="str">
        <f>IF(OR(COUNTIF(O39:O43,N.D.)&gt;0,COUNTIF(T39:T43,N.D.)&gt;0,COUNTIF(Y39:Y43,N.D.)&gt;0),erreur2&amp;'Données - Résidentiel'!I84,"")</f>
        <v>Les données ci-dessous ne peuvent pas être complétées. Vérifiez la réponse à la question 2.4.</v>
      </c>
      <c r="P36" s="971"/>
      <c r="Q36" s="971"/>
      <c r="R36" s="971"/>
      <c r="S36" s="971"/>
      <c r="T36" s="971"/>
      <c r="U36" s="971"/>
      <c r="V36" s="971"/>
      <c r="W36" s="971"/>
      <c r="X36" s="971"/>
      <c r="Y36" s="971"/>
      <c r="Z36" s="971"/>
      <c r="AA36" s="971"/>
      <c r="AB36" s="971"/>
      <c r="AC36" s="5"/>
      <c r="AD36" s="146"/>
      <c r="AE36" s="5"/>
      <c r="AF36" s="5"/>
      <c r="AG36" s="5"/>
      <c r="AH36" s="5"/>
      <c r="AI36" s="5"/>
      <c r="AJ36" s="5"/>
      <c r="AK36" s="5"/>
      <c r="AL36" s="5"/>
      <c r="AM36" s="5"/>
      <c r="AN36" s="5"/>
      <c r="AO36" s="5"/>
      <c r="AP36" s="5"/>
      <c r="AQ36" s="5"/>
      <c r="AR36" s="5"/>
      <c r="AS36" s="5"/>
      <c r="AT36" s="5"/>
      <c r="AU36" s="5"/>
      <c r="AV36" s="5"/>
      <c r="AW36" s="5"/>
      <c r="AX36" s="5"/>
      <c r="AY36" s="40"/>
      <c r="AZ36" s="5"/>
      <c r="BA36" s="5"/>
      <c r="BB36" s="5"/>
      <c r="BC36" s="5"/>
      <c r="BD36" s="5"/>
      <c r="BE36" s="5"/>
      <c r="BF36" s="5"/>
      <c r="BG36" s="5"/>
      <c r="BH36" s="5"/>
      <c r="BI36" s="5"/>
      <c r="BJ36" s="5"/>
      <c r="BK36" t="str">
        <f>UPPER('Données - Résidentiel'!J84)</f>
        <v>BOUES MUNICIPALES</v>
      </c>
    </row>
    <row r="37" spans="1:63" ht="6" hidden="1" customHeight="1" x14ac:dyDescent="0.25">
      <c r="A37" s="5"/>
      <c r="B37" s="146"/>
      <c r="C37" s="5"/>
      <c r="D37" s="104"/>
      <c r="E37" s="104"/>
      <c r="F37" s="104"/>
      <c r="G37" s="104"/>
      <c r="H37" s="104"/>
      <c r="I37" s="104"/>
      <c r="J37" s="104"/>
      <c r="K37" s="104"/>
      <c r="L37" s="104"/>
      <c r="M37" s="104"/>
      <c r="N37" s="104"/>
      <c r="O37" s="104"/>
      <c r="P37" s="104"/>
      <c r="Q37" s="104"/>
      <c r="R37" s="104"/>
      <c r="S37" s="104"/>
      <c r="T37" s="5"/>
      <c r="U37" s="5"/>
      <c r="V37" s="5"/>
      <c r="W37" s="5"/>
      <c r="X37" s="5"/>
      <c r="Y37" s="5"/>
      <c r="Z37" s="5"/>
      <c r="AA37" s="5"/>
      <c r="AB37" s="5"/>
      <c r="AC37" s="5"/>
      <c r="AD37" s="146"/>
      <c r="AE37" s="5"/>
      <c r="AF37" s="5"/>
      <c r="AG37" s="5"/>
      <c r="AH37" s="5"/>
      <c r="AI37" s="5"/>
      <c r="AJ37" s="5"/>
      <c r="AK37" s="5"/>
      <c r="AL37" s="5"/>
      <c r="AM37" s="5"/>
      <c r="AN37" s="5"/>
      <c r="AO37" s="5"/>
      <c r="AP37" s="5"/>
      <c r="AQ37" s="5"/>
      <c r="AR37" s="5"/>
      <c r="AS37" s="5"/>
      <c r="AT37" s="5"/>
      <c r="AU37" s="5"/>
      <c r="AV37" s="5"/>
      <c r="AW37" s="5"/>
      <c r="AX37" s="5"/>
      <c r="AY37" s="40"/>
      <c r="AZ37" s="5"/>
      <c r="BA37" s="5"/>
      <c r="BB37" s="5"/>
      <c r="BC37" s="5"/>
      <c r="BD37" s="5"/>
      <c r="BE37" s="5"/>
      <c r="BF37" s="5"/>
      <c r="BG37" s="5"/>
      <c r="BH37" s="5"/>
      <c r="BI37" s="5"/>
      <c r="BJ37" s="5"/>
    </row>
    <row r="38" spans="1:63" ht="20.25" customHeight="1" x14ac:dyDescent="0.25">
      <c r="A38" s="5"/>
      <c r="B38" s="146"/>
      <c r="C38" s="5"/>
      <c r="D38" s="5"/>
      <c r="E38" s="5"/>
      <c r="F38" s="5"/>
      <c r="G38" s="5"/>
      <c r="H38" s="5"/>
      <c r="I38" s="5"/>
      <c r="J38" s="5"/>
      <c r="K38" s="5"/>
      <c r="L38" s="5"/>
      <c r="M38" s="5"/>
      <c r="N38" s="5"/>
      <c r="O38" s="715" t="s">
        <v>285</v>
      </c>
      <c r="P38" s="715"/>
      <c r="Q38" s="715"/>
      <c r="R38" s="715"/>
      <c r="S38" s="26"/>
      <c r="T38" s="715" t="s">
        <v>286</v>
      </c>
      <c r="U38" s="715"/>
      <c r="V38" s="715"/>
      <c r="W38" s="715"/>
      <c r="X38" s="26"/>
      <c r="Y38" s="715" t="s">
        <v>287</v>
      </c>
      <c r="Z38" s="715"/>
      <c r="AA38" s="715"/>
      <c r="AB38" s="715"/>
      <c r="AC38" s="5"/>
      <c r="AD38" s="146"/>
      <c r="AE38" s="5"/>
      <c r="AF38" s="5"/>
      <c r="AG38" s="5"/>
      <c r="AH38" s="5"/>
      <c r="AI38" s="5"/>
      <c r="AJ38" s="5"/>
      <c r="AK38" s="5"/>
      <c r="AL38" s="5"/>
      <c r="AM38" s="5"/>
      <c r="AN38" s="5"/>
      <c r="AO38" s="5"/>
      <c r="AP38" s="5"/>
      <c r="AQ38" s="5"/>
      <c r="AR38" s="5"/>
      <c r="AS38" s="5"/>
      <c r="AT38" s="5"/>
      <c r="AU38" s="5"/>
      <c r="AV38" s="5"/>
      <c r="AW38" s="5"/>
      <c r="AX38" s="5"/>
      <c r="AY38" s="40"/>
      <c r="AZ38" s="5"/>
      <c r="BA38" s="5"/>
      <c r="BB38" s="5"/>
      <c r="BC38" s="5"/>
      <c r="BD38" s="5"/>
      <c r="BE38" s="5"/>
      <c r="BF38" s="5"/>
      <c r="BG38" s="5"/>
      <c r="BH38" s="5"/>
      <c r="BI38" s="5"/>
      <c r="BJ38" s="5"/>
    </row>
    <row r="39" spans="1:63" ht="37.5" customHeight="1" x14ac:dyDescent="0.25">
      <c r="A39" s="5"/>
      <c r="B39" s="146"/>
      <c r="C39" s="5"/>
      <c r="D39" s="968" t="str">
        <f>'Données - Résidentiel'!K88</f>
        <v xml:space="preserve">Boues municipales de stations d'épuration mécanisées (BSM) </v>
      </c>
      <c r="E39" s="968"/>
      <c r="F39" s="968"/>
      <c r="G39" s="968"/>
      <c r="H39" s="968"/>
      <c r="I39" s="968"/>
      <c r="J39" s="968"/>
      <c r="K39" s="968"/>
      <c r="L39" s="968"/>
      <c r="M39" s="968"/>
      <c r="N39" s="968"/>
      <c r="O39" s="983" t="str">
        <f>'Données - Résidentiel'!BQ144</f>
        <v>N.A.</v>
      </c>
      <c r="P39" s="983"/>
      <c r="Q39" s="983"/>
      <c r="R39" s="983"/>
      <c r="S39" s="65"/>
      <c r="T39" s="983" t="str">
        <f>'Données - Résidentiel'!BV144</f>
        <v>N.A.</v>
      </c>
      <c r="U39" s="983"/>
      <c r="V39" s="983"/>
      <c r="W39" s="983"/>
      <c r="X39" s="65"/>
      <c r="Y39" s="983" t="str">
        <f>IF(OR(O39=N.D.,T39=N.D.),N.D.,IF(O39=N.A.,N.A.,SUM(O39,T39)))</f>
        <v>N.A.</v>
      </c>
      <c r="Z39" s="983"/>
      <c r="AA39" s="983"/>
      <c r="AB39" s="983"/>
      <c r="AC39" s="5"/>
      <c r="AD39" s="146"/>
      <c r="AE39" s="5"/>
      <c r="AF39" s="5"/>
      <c r="AG39" s="5"/>
      <c r="AH39" s="5"/>
      <c r="AI39" s="5"/>
      <c r="AJ39" s="5"/>
      <c r="AK39" s="5"/>
      <c r="AL39" s="5"/>
      <c r="AM39" s="5"/>
      <c r="AN39" s="5"/>
      <c r="AO39" s="5"/>
      <c r="AP39" s="5"/>
      <c r="AQ39" s="5"/>
      <c r="AR39" s="5"/>
      <c r="AS39" s="5"/>
      <c r="AT39" s="5"/>
      <c r="AU39" s="5"/>
      <c r="AV39" s="5"/>
      <c r="AW39" s="5"/>
      <c r="AX39" s="5"/>
      <c r="AY39" s="40"/>
      <c r="AZ39" s="5"/>
      <c r="BA39" s="5"/>
      <c r="BB39" s="5"/>
      <c r="BC39" s="5"/>
      <c r="BD39" s="5"/>
      <c r="BE39" s="5"/>
      <c r="BF39" s="5"/>
      <c r="BG39" s="5"/>
      <c r="BH39" s="5"/>
      <c r="BI39" s="5"/>
      <c r="BJ39" s="5"/>
    </row>
    <row r="40" spans="1:63" ht="23.25" customHeight="1" x14ac:dyDescent="0.25">
      <c r="A40" s="5"/>
      <c r="B40" s="146"/>
      <c r="C40" s="5"/>
      <c r="D40" s="967" t="str">
        <f>'Données - Résidentiel'!K108</f>
        <v xml:space="preserve">Boues municipales d'étangs aérés (BEA) </v>
      </c>
      <c r="E40" s="968"/>
      <c r="F40" s="968"/>
      <c r="G40" s="968"/>
      <c r="H40" s="968"/>
      <c r="I40" s="968"/>
      <c r="J40" s="968"/>
      <c r="K40" s="968"/>
      <c r="L40" s="968"/>
      <c r="M40" s="968"/>
      <c r="N40" s="968"/>
      <c r="O40" s="983" t="str">
        <f>'Données - Résidentiel'!BQ145</f>
        <v>N.A.</v>
      </c>
      <c r="P40" s="983"/>
      <c r="Q40" s="983"/>
      <c r="R40" s="983"/>
      <c r="S40" s="65"/>
      <c r="T40" s="983" t="str">
        <f>'Données - Résidentiel'!BV145</f>
        <v>N.A.</v>
      </c>
      <c r="U40" s="983"/>
      <c r="V40" s="983"/>
      <c r="W40" s="983"/>
      <c r="X40" s="80"/>
      <c r="Y40" s="983" t="str">
        <f>IF(OR(O40=N.D.,T40=N.D.),N.D.,IF(O40=N.A.,N.A.,SUM(O40,T40)))</f>
        <v>N.A.</v>
      </c>
      <c r="Z40" s="983"/>
      <c r="AA40" s="983"/>
      <c r="AB40" s="983"/>
      <c r="AC40" s="5"/>
      <c r="AD40" s="146"/>
      <c r="AE40" s="5"/>
      <c r="AF40" s="5"/>
      <c r="AG40" s="5"/>
      <c r="AH40" s="5"/>
      <c r="AI40" s="5"/>
      <c r="AJ40" s="5"/>
      <c r="AK40" s="5"/>
      <c r="AL40" s="5"/>
      <c r="AM40" s="5"/>
      <c r="AN40" s="5"/>
      <c r="AO40" s="5"/>
      <c r="AP40" s="5"/>
      <c r="AQ40" s="5"/>
      <c r="AR40" s="5"/>
      <c r="AS40" s="5"/>
      <c r="AT40" s="5"/>
      <c r="AU40" s="5"/>
      <c r="AV40" s="5"/>
      <c r="AW40" s="5"/>
      <c r="AX40" s="5"/>
      <c r="AY40" s="40"/>
      <c r="AZ40" s="5"/>
      <c r="BA40" s="5"/>
      <c r="BB40" s="5"/>
      <c r="BC40" s="5"/>
      <c r="BD40" s="5"/>
      <c r="BE40" s="5"/>
      <c r="BF40" s="5"/>
      <c r="BG40" s="5"/>
      <c r="BH40" s="5"/>
      <c r="BI40" s="5"/>
      <c r="BJ40" s="5"/>
    </row>
    <row r="41" spans="1:63" ht="23.25" customHeight="1" x14ac:dyDescent="0.25">
      <c r="A41" s="5"/>
      <c r="B41" s="146"/>
      <c r="C41" s="5"/>
      <c r="D41" s="967" t="str">
        <f>'Données - Résidentiel'!K131</f>
        <v xml:space="preserve">Boues de fosses septiques (BFS) </v>
      </c>
      <c r="E41" s="968"/>
      <c r="F41" s="968"/>
      <c r="G41" s="968"/>
      <c r="H41" s="968"/>
      <c r="I41" s="968"/>
      <c r="J41" s="968"/>
      <c r="K41" s="968"/>
      <c r="L41" s="968"/>
      <c r="M41" s="968"/>
      <c r="N41" s="968"/>
      <c r="O41" s="983" t="str">
        <f>'Données - Résidentiel'!BQ146</f>
        <v>N.A.</v>
      </c>
      <c r="P41" s="983"/>
      <c r="Q41" s="983"/>
      <c r="R41" s="983"/>
      <c r="S41" s="28"/>
      <c r="T41" s="983" t="str">
        <f>'Données - Résidentiel'!BV146</f>
        <v>N.A.</v>
      </c>
      <c r="U41" s="983"/>
      <c r="V41" s="983"/>
      <c r="W41" s="983"/>
      <c r="X41" s="28"/>
      <c r="Y41" s="983" t="str">
        <f>IF(OR(O41=N.D.,T41=N.D.),N.D.,IF(O41=N.A.,N.A.,SUM(O41,T41)))</f>
        <v>N.A.</v>
      </c>
      <c r="Z41" s="983"/>
      <c r="AA41" s="983"/>
      <c r="AB41" s="983"/>
      <c r="AC41" s="5"/>
      <c r="AD41" s="146"/>
      <c r="AE41" s="5"/>
      <c r="AF41" s="5"/>
      <c r="AG41" s="5"/>
      <c r="AH41" s="5"/>
      <c r="AI41" s="5"/>
      <c r="AJ41" s="5"/>
      <c r="AK41" s="5"/>
      <c r="AL41" s="5"/>
      <c r="AM41" s="5"/>
      <c r="AN41" s="5"/>
      <c r="AO41" s="5"/>
      <c r="AP41" s="5"/>
      <c r="AQ41" s="5"/>
      <c r="AR41" s="5"/>
      <c r="AS41" s="5"/>
      <c r="AT41" s="5"/>
      <c r="AU41" s="5"/>
      <c r="AV41" s="5"/>
      <c r="AW41" s="5"/>
      <c r="AX41" s="5"/>
      <c r="AY41" s="40"/>
      <c r="AZ41" s="5"/>
      <c r="BA41" s="5"/>
      <c r="BB41" s="5"/>
      <c r="BC41" s="5"/>
      <c r="BD41" s="5"/>
      <c r="BE41" s="5"/>
      <c r="BF41" s="5"/>
      <c r="BG41" s="5"/>
      <c r="BH41" s="5"/>
      <c r="BI41" s="5"/>
      <c r="BJ41" s="5"/>
    </row>
    <row r="42" spans="1:63" ht="10.5" customHeight="1" x14ac:dyDescent="0.25">
      <c r="A42" s="5"/>
      <c r="B42" s="146"/>
      <c r="C42" s="5"/>
      <c r="D42" s="103"/>
      <c r="E42" s="103"/>
      <c r="F42" s="103"/>
      <c r="G42" s="103"/>
      <c r="H42" s="103"/>
      <c r="I42" s="103"/>
      <c r="J42" s="103"/>
      <c r="K42" s="103"/>
      <c r="L42" s="103"/>
      <c r="M42" s="103"/>
      <c r="N42" s="103"/>
      <c r="O42" s="5"/>
      <c r="P42" s="5"/>
      <c r="Q42" s="5"/>
      <c r="R42" s="5"/>
      <c r="S42" s="5"/>
      <c r="T42" s="5"/>
      <c r="U42" s="5"/>
      <c r="V42" s="5"/>
      <c r="W42" s="5"/>
      <c r="X42" s="5"/>
      <c r="Y42" s="5"/>
      <c r="Z42" s="5"/>
      <c r="AA42" s="5"/>
      <c r="AB42" s="5"/>
      <c r="AC42" s="5"/>
      <c r="AD42" s="146"/>
      <c r="AE42" s="5"/>
      <c r="AF42" s="5"/>
      <c r="AG42" s="5"/>
      <c r="AH42" s="5"/>
      <c r="AI42" s="5"/>
      <c r="AJ42" s="5"/>
      <c r="AK42" s="5"/>
      <c r="AL42" s="5"/>
      <c r="AM42" s="5"/>
      <c r="AN42" s="5"/>
      <c r="AO42" s="5"/>
      <c r="AP42" s="5"/>
      <c r="AQ42" s="5"/>
      <c r="AR42" s="5"/>
      <c r="AS42" s="5"/>
      <c r="AT42" s="5"/>
      <c r="AU42" s="5"/>
      <c r="AV42" s="5"/>
      <c r="AW42" s="5"/>
      <c r="AX42" s="5"/>
      <c r="AY42" s="40"/>
      <c r="AZ42" s="5"/>
      <c r="BA42" s="5"/>
      <c r="BB42" s="5"/>
      <c r="BC42" s="5"/>
      <c r="BD42" s="5"/>
      <c r="BE42" s="5"/>
      <c r="BF42" s="5"/>
      <c r="BG42" s="5"/>
      <c r="BH42" s="5"/>
      <c r="BI42" s="5"/>
      <c r="BJ42" s="5"/>
    </row>
    <row r="43" spans="1:63" ht="23.25" customHeight="1" x14ac:dyDescent="0.25">
      <c r="A43" s="5"/>
      <c r="B43" s="146"/>
      <c r="C43" s="5"/>
      <c r="D43" s="973" t="str">
        <f>'Données - Résidentiel'!BI148</f>
        <v>Total</v>
      </c>
      <c r="E43" s="973"/>
      <c r="F43" s="973"/>
      <c r="G43" s="973"/>
      <c r="H43" s="973"/>
      <c r="I43" s="973"/>
      <c r="J43" s="973"/>
      <c r="K43" s="973"/>
      <c r="L43" s="973"/>
      <c r="M43" s="973"/>
      <c r="N43" s="973"/>
      <c r="O43" s="985" t="str">
        <f>'Données - Résidentiel'!BQ148</f>
        <v>N.D.</v>
      </c>
      <c r="P43" s="985"/>
      <c r="Q43" s="985"/>
      <c r="R43" s="985"/>
      <c r="S43" s="82"/>
      <c r="T43" s="985" t="str">
        <f>'Données - Résidentiel'!BV148</f>
        <v>N.D.</v>
      </c>
      <c r="U43" s="985"/>
      <c r="V43" s="985"/>
      <c r="W43" s="985"/>
      <c r="X43" s="82"/>
      <c r="Y43" s="985" t="str">
        <f>IF(OR(O43=N.D.,T43=N.D.),N.D.,SUM(O43,T43))</f>
        <v>N.D.</v>
      </c>
      <c r="Z43" s="985"/>
      <c r="AA43" s="985"/>
      <c r="AB43" s="985"/>
      <c r="AC43" s="5"/>
      <c r="AD43" s="146"/>
      <c r="AE43" s="5"/>
      <c r="AF43" s="5"/>
      <c r="AG43" s="5"/>
      <c r="AH43" s="5"/>
      <c r="AI43" s="5"/>
      <c r="AJ43" s="5"/>
      <c r="AK43" s="5"/>
      <c r="AL43" s="5"/>
      <c r="AM43" s="5"/>
      <c r="AN43" s="5"/>
      <c r="AO43" s="5"/>
      <c r="AP43" s="5"/>
      <c r="AQ43" s="5"/>
      <c r="AR43" s="5"/>
      <c r="AS43" s="5"/>
      <c r="AT43" s="5"/>
      <c r="AU43" s="5"/>
      <c r="AV43" s="5"/>
      <c r="AW43" s="5"/>
      <c r="AX43" s="5"/>
      <c r="AY43" s="40"/>
      <c r="AZ43" s="5"/>
      <c r="BA43" s="5"/>
      <c r="BB43" s="5"/>
      <c r="BC43" s="5"/>
      <c r="BD43" s="5"/>
      <c r="BE43" s="5"/>
      <c r="BF43" s="5"/>
      <c r="BG43" s="5"/>
      <c r="BH43" s="5"/>
      <c r="BI43" s="5"/>
      <c r="BJ43" s="5"/>
    </row>
    <row r="44" spans="1:63" ht="37.5" customHeight="1" x14ac:dyDescent="0.25">
      <c r="A44" s="5"/>
      <c r="B44" s="146"/>
      <c r="C44" s="5"/>
      <c r="D44" s="103"/>
      <c r="E44" s="103"/>
      <c r="F44" s="103"/>
      <c r="G44" s="103"/>
      <c r="H44" s="103"/>
      <c r="I44" s="103"/>
      <c r="J44" s="103"/>
      <c r="K44" s="103"/>
      <c r="L44" s="103"/>
      <c r="M44" s="103"/>
      <c r="N44" s="103"/>
      <c r="O44" s="984" t="str">
        <f>IF(Y39=N.A.,"N.A.  Non applicable","")</f>
        <v>N.A.  Non applicable</v>
      </c>
      <c r="P44" s="984"/>
      <c r="Q44" s="984"/>
      <c r="R44" s="984"/>
      <c r="S44" s="984"/>
      <c r="T44" s="984"/>
      <c r="U44" s="984"/>
      <c r="V44" s="984"/>
      <c r="W44" s="984"/>
      <c r="X44" s="984"/>
      <c r="Y44" s="984"/>
      <c r="Z44" s="984"/>
      <c r="AA44" s="984"/>
      <c r="AB44" s="984"/>
      <c r="AC44" s="5"/>
      <c r="AD44" s="146"/>
      <c r="AE44" s="5"/>
      <c r="AF44" s="5"/>
      <c r="AG44" s="5"/>
      <c r="AH44" s="5"/>
      <c r="AI44" s="5"/>
      <c r="AJ44" s="5"/>
      <c r="AK44" s="5"/>
      <c r="AL44" s="5"/>
      <c r="AM44" s="5"/>
      <c r="AN44" s="5"/>
      <c r="AO44" s="5"/>
      <c r="AP44" s="5"/>
      <c r="AQ44" s="5"/>
      <c r="AR44" s="5"/>
      <c r="AS44" s="5"/>
      <c r="AT44" s="5"/>
      <c r="AU44" s="5"/>
      <c r="AV44" s="5"/>
      <c r="AW44" s="5"/>
      <c r="AX44" s="5"/>
      <c r="AY44" s="40"/>
      <c r="AZ44" s="5"/>
      <c r="BA44" s="5"/>
      <c r="BB44" s="5"/>
      <c r="BC44" s="5"/>
      <c r="BD44" s="5"/>
      <c r="BE44" s="5"/>
      <c r="BF44" s="5"/>
      <c r="BG44" s="5"/>
      <c r="BH44" s="5"/>
      <c r="BI44" s="5"/>
      <c r="BJ44" s="5"/>
    </row>
    <row r="45" spans="1:63" ht="33.75" customHeight="1" x14ac:dyDescent="0.25">
      <c r="A45" s="5"/>
      <c r="B45" s="146"/>
      <c r="C45" s="5"/>
      <c r="D45" s="972" t="str">
        <f>IF(res_utiliser_VHU=menu_utilisateur,BK45&amp;retour&amp;utilisateur,BK45&amp;retour&amp;outil)</f>
        <v>VÉHICULES HORS D'USAGE (VHU)
    (Données de l'outil)</v>
      </c>
      <c r="E45" s="972"/>
      <c r="F45" s="972"/>
      <c r="G45" s="972"/>
      <c r="H45" s="972"/>
      <c r="I45" s="972"/>
      <c r="J45" s="972"/>
      <c r="K45" s="972"/>
      <c r="L45" s="972"/>
      <c r="M45" s="972"/>
      <c r="N45" s="972"/>
      <c r="O45" s="971" t="str">
        <f>IF(OR(COUNTIF(O48,N.D.)&gt;0,COUNTIF(T48,N.D.)&gt;0,COUNTIF(Y48,N.D.)&gt;0),erreur2&amp;'Données - Résidentiel'!I157,"")</f>
        <v>Les données ci-dessous ne peuvent pas être complétées. Vérifiez la réponse à la question 2.5.</v>
      </c>
      <c r="P45" s="971"/>
      <c r="Q45" s="971"/>
      <c r="R45" s="971"/>
      <c r="S45" s="971"/>
      <c r="T45" s="971"/>
      <c r="U45" s="971"/>
      <c r="V45" s="971"/>
      <c r="W45" s="971"/>
      <c r="X45" s="971"/>
      <c r="Y45" s="971"/>
      <c r="Z45" s="971"/>
      <c r="AA45" s="971"/>
      <c r="AB45" s="971"/>
      <c r="AC45" s="5"/>
      <c r="AD45" s="146"/>
      <c r="AE45" s="5"/>
      <c r="AF45" s="5"/>
      <c r="AG45" s="5"/>
      <c r="AH45" s="5"/>
      <c r="AI45" s="5"/>
      <c r="AJ45" s="5"/>
      <c r="AK45" s="5"/>
      <c r="AL45" s="5"/>
      <c r="AM45" s="5"/>
      <c r="AN45" s="5"/>
      <c r="AO45" s="5"/>
      <c r="AP45" s="5"/>
      <c r="AQ45" s="5"/>
      <c r="AR45" s="5"/>
      <c r="AS45" s="5"/>
      <c r="AT45" s="5"/>
      <c r="AU45" s="5"/>
      <c r="AV45" s="5"/>
      <c r="AW45" s="5"/>
      <c r="AX45" s="5"/>
      <c r="AY45" s="40"/>
      <c r="AZ45" s="5"/>
      <c r="BA45" s="5"/>
      <c r="BB45" s="5"/>
      <c r="BC45" s="5"/>
      <c r="BD45" s="5"/>
      <c r="BE45" s="5"/>
      <c r="BF45" s="5"/>
      <c r="BG45" s="5"/>
      <c r="BH45" s="5"/>
      <c r="BI45" s="5"/>
      <c r="BJ45" s="5"/>
      <c r="BK45" t="str">
        <f>UPPER('Données - Résidentiel'!J157)</f>
        <v>VÉHICULES HORS D'USAGE (VHU)</v>
      </c>
    </row>
    <row r="46" spans="1:63" ht="6" hidden="1" customHeight="1" x14ac:dyDescent="0.25">
      <c r="A46" s="5"/>
      <c r="B46" s="146"/>
      <c r="C46" s="5"/>
      <c r="D46" s="104"/>
      <c r="E46" s="104"/>
      <c r="F46" s="104"/>
      <c r="G46" s="104"/>
      <c r="H46" s="104"/>
      <c r="I46" s="104"/>
      <c r="J46" s="104"/>
      <c r="K46" s="104"/>
      <c r="L46" s="104"/>
      <c r="M46" s="104"/>
      <c r="N46" s="104"/>
      <c r="O46" s="104"/>
      <c r="P46" s="104"/>
      <c r="Q46" s="104"/>
      <c r="R46" s="104"/>
      <c r="S46" s="104"/>
      <c r="T46" s="5"/>
      <c r="U46" s="5"/>
      <c r="V46" s="5"/>
      <c r="W46" s="5"/>
      <c r="X46" s="5"/>
      <c r="Y46" s="5"/>
      <c r="Z46" s="5"/>
      <c r="AA46" s="5"/>
      <c r="AB46" s="5"/>
      <c r="AC46" s="5"/>
      <c r="AD46" s="146"/>
      <c r="AE46" s="5"/>
      <c r="AF46" s="5"/>
      <c r="AG46" s="5"/>
      <c r="AH46" s="5"/>
      <c r="AI46" s="5"/>
      <c r="AJ46" s="5"/>
      <c r="AK46" s="5"/>
      <c r="AL46" s="5"/>
      <c r="AM46" s="5"/>
      <c r="AN46" s="5"/>
      <c r="AO46" s="5"/>
      <c r="AP46" s="5"/>
      <c r="AQ46" s="5"/>
      <c r="AR46" s="5"/>
      <c r="AS46" s="5"/>
      <c r="AT46" s="5"/>
      <c r="AU46" s="5"/>
      <c r="AV46" s="5"/>
      <c r="AW46" s="5"/>
      <c r="AX46" s="5"/>
      <c r="AY46" s="40"/>
      <c r="AZ46" s="5"/>
      <c r="BA46" s="5"/>
      <c r="BB46" s="5"/>
      <c r="BC46" s="5"/>
      <c r="BD46" s="5"/>
      <c r="BE46" s="5"/>
      <c r="BF46" s="5"/>
      <c r="BG46" s="5"/>
      <c r="BH46" s="5"/>
      <c r="BI46" s="5"/>
      <c r="BJ46" s="5"/>
    </row>
    <row r="47" spans="1:63" ht="19.5" customHeight="1" x14ac:dyDescent="0.25">
      <c r="A47" s="5"/>
      <c r="B47" s="146"/>
      <c r="C47" s="5"/>
      <c r="D47" s="5"/>
      <c r="E47" s="5"/>
      <c r="F47" s="5"/>
      <c r="G47" s="5"/>
      <c r="H47" s="5"/>
      <c r="I47" s="5"/>
      <c r="J47" s="5"/>
      <c r="K47" s="5"/>
      <c r="L47" s="5"/>
      <c r="M47" s="5"/>
      <c r="N47" s="5"/>
      <c r="O47" s="715" t="s">
        <v>285</v>
      </c>
      <c r="P47" s="715"/>
      <c r="Q47" s="715"/>
      <c r="R47" s="715"/>
      <c r="S47" s="26"/>
      <c r="T47" s="715" t="s">
        <v>286</v>
      </c>
      <c r="U47" s="715"/>
      <c r="V47" s="715"/>
      <c r="W47" s="715"/>
      <c r="X47" s="26"/>
      <c r="Y47" s="715" t="s">
        <v>287</v>
      </c>
      <c r="Z47" s="715"/>
      <c r="AA47" s="715"/>
      <c r="AB47" s="715"/>
      <c r="AC47" s="5"/>
      <c r="AD47" s="146"/>
      <c r="AE47" s="5"/>
      <c r="AF47" s="5"/>
      <c r="AG47" s="5"/>
      <c r="AH47" s="5"/>
      <c r="AI47" s="5"/>
      <c r="AJ47" s="5"/>
      <c r="AK47" s="5"/>
      <c r="AL47" s="5"/>
      <c r="AM47" s="5"/>
      <c r="AN47" s="5"/>
      <c r="AO47" s="5"/>
      <c r="AP47" s="5"/>
      <c r="AQ47" s="5"/>
      <c r="AR47" s="5"/>
      <c r="AS47" s="5"/>
      <c r="AT47" s="5"/>
      <c r="AU47" s="5"/>
      <c r="AV47" s="5"/>
      <c r="AW47" s="5"/>
      <c r="AX47" s="5"/>
      <c r="AY47" s="40"/>
      <c r="AZ47" s="5"/>
      <c r="BA47" s="5"/>
      <c r="BB47" s="5"/>
      <c r="BC47" s="5"/>
      <c r="BD47" s="5"/>
      <c r="BE47" s="5"/>
      <c r="BF47" s="5"/>
      <c r="BG47" s="5"/>
      <c r="BH47" s="5"/>
      <c r="BI47" s="5"/>
      <c r="BJ47" s="5"/>
    </row>
    <row r="48" spans="1:63" ht="23.25" x14ac:dyDescent="0.25">
      <c r="A48" s="5"/>
      <c r="B48" s="146"/>
      <c r="C48" s="5"/>
      <c r="D48" s="968" t="str">
        <f>'Données - Résidentiel'!I164</f>
        <v>Véhicules hors d'usage</v>
      </c>
      <c r="E48" s="968"/>
      <c r="F48" s="968"/>
      <c r="G48" s="968"/>
      <c r="H48" s="968"/>
      <c r="I48" s="968"/>
      <c r="J48" s="968"/>
      <c r="K48" s="968"/>
      <c r="L48" s="968"/>
      <c r="M48" s="968"/>
      <c r="N48" s="968"/>
      <c r="O48" s="969" t="str">
        <f>'Données - Résidentiel'!BQ164</f>
        <v>N.D.</v>
      </c>
      <c r="P48" s="969"/>
      <c r="Q48" s="969"/>
      <c r="R48" s="969"/>
      <c r="S48" s="65"/>
      <c r="T48" s="969" t="str">
        <f>'Données - Résidentiel'!BV164</f>
        <v>N.D.</v>
      </c>
      <c r="U48" s="969"/>
      <c r="V48" s="969"/>
      <c r="W48" s="969"/>
      <c r="X48" s="65"/>
      <c r="Y48" s="969">
        <f>IF(AND(O48="",T48=""),"",SUM(O48,T48))</f>
        <v>0</v>
      </c>
      <c r="Z48" s="969"/>
      <c r="AA48" s="969"/>
      <c r="AB48" s="969"/>
      <c r="AC48" s="5"/>
      <c r="AD48" s="146"/>
      <c r="AE48" s="5"/>
      <c r="AF48" s="5"/>
      <c r="AG48" s="5"/>
      <c r="AH48" s="5"/>
      <c r="AI48" s="5"/>
      <c r="AJ48" s="5"/>
      <c r="AK48" s="5"/>
      <c r="AL48" s="5"/>
      <c r="AM48" s="5"/>
      <c r="AN48" s="5"/>
      <c r="AO48" s="5"/>
      <c r="AP48" s="5"/>
      <c r="AQ48" s="5"/>
      <c r="AR48" s="5"/>
      <c r="AS48" s="5"/>
      <c r="AT48" s="5"/>
      <c r="AU48" s="5"/>
      <c r="AV48" s="5"/>
      <c r="AW48" s="5"/>
      <c r="AX48" s="5"/>
      <c r="AY48" s="40"/>
      <c r="AZ48" s="5"/>
      <c r="BA48" s="5"/>
      <c r="BB48" s="5"/>
      <c r="BC48" s="5"/>
      <c r="BD48" s="5"/>
      <c r="BE48" s="5"/>
      <c r="BF48" s="5"/>
      <c r="BG48" s="5"/>
      <c r="BH48" s="5"/>
      <c r="BI48" s="5"/>
      <c r="BJ48" s="5"/>
    </row>
    <row r="49" spans="1:63" ht="37.5" customHeight="1" x14ac:dyDescent="0.25">
      <c r="A49" s="5"/>
      <c r="B49" s="146"/>
      <c r="C49" s="5"/>
      <c r="D49" s="103"/>
      <c r="E49" s="103"/>
      <c r="F49" s="103"/>
      <c r="G49" s="103"/>
      <c r="H49" s="103"/>
      <c r="I49" s="103"/>
      <c r="J49" s="103"/>
      <c r="K49" s="103"/>
      <c r="L49" s="103"/>
      <c r="M49" s="103"/>
      <c r="N49" s="103"/>
      <c r="O49" s="5"/>
      <c r="P49" s="5"/>
      <c r="Q49" s="5"/>
      <c r="R49" s="5"/>
      <c r="S49" s="5"/>
      <c r="T49" s="5"/>
      <c r="U49" s="5"/>
      <c r="V49" s="5"/>
      <c r="W49" s="5"/>
      <c r="X49" s="5"/>
      <c r="Y49" s="5"/>
      <c r="Z49" s="5"/>
      <c r="AA49" s="5"/>
      <c r="AB49" s="5"/>
      <c r="AC49" s="5"/>
      <c r="AD49" s="146"/>
      <c r="AE49" s="5"/>
      <c r="AF49" s="5"/>
      <c r="AG49" s="5"/>
      <c r="AH49" s="5"/>
      <c r="AI49" s="5"/>
      <c r="AJ49" s="5"/>
      <c r="AK49" s="5"/>
      <c r="AL49" s="5"/>
      <c r="AM49" s="5"/>
      <c r="AN49" s="5"/>
      <c r="AO49" s="5"/>
      <c r="AP49" s="5"/>
      <c r="AQ49" s="5"/>
      <c r="AR49" s="5"/>
      <c r="AS49" s="5"/>
      <c r="AT49" s="5"/>
      <c r="AU49" s="5"/>
      <c r="AV49" s="5"/>
      <c r="AW49" s="5"/>
      <c r="AX49" s="5"/>
      <c r="AY49" s="40"/>
      <c r="AZ49" s="5"/>
      <c r="BA49" s="5"/>
      <c r="BB49" s="5"/>
      <c r="BC49" s="5"/>
      <c r="BD49" s="5"/>
      <c r="BE49" s="5"/>
      <c r="BF49" s="5"/>
      <c r="BG49" s="5"/>
      <c r="BH49" s="5"/>
      <c r="BI49" s="5"/>
      <c r="BJ49" s="5"/>
    </row>
    <row r="50" spans="1:63" ht="33.75" customHeight="1" x14ac:dyDescent="0.25">
      <c r="A50" s="5"/>
      <c r="B50" s="146"/>
      <c r="C50" s="5"/>
      <c r="D50" s="972" t="str">
        <f>IF(res_utiliser_textile=menu_utilisateur,BK50&amp;retour&amp;utilisateur,BK50&amp;retour&amp;outil)</f>
        <v>TEXTILES
    (Données de l'outil)</v>
      </c>
      <c r="E50" s="972"/>
      <c r="F50" s="972"/>
      <c r="G50" s="972"/>
      <c r="H50" s="972"/>
      <c r="I50" s="972"/>
      <c r="J50" s="972"/>
      <c r="K50" s="972"/>
      <c r="L50" s="972"/>
      <c r="M50" s="972"/>
      <c r="N50" s="972"/>
      <c r="O50" s="971" t="str">
        <f>IF(OR(COUNTIF(O53,N.D.)&gt;0,COUNTIF(T53,N.D.)&gt;0,COUNTIF(Y53,N.D.)&gt;0),erreur2&amp;'Données - Résidentiel'!I173,"")</f>
        <v>Les données ci-dessous ne peuvent pas être complétées. Vérifiez la réponse à la question 2.6.</v>
      </c>
      <c r="P50" s="971"/>
      <c r="Q50" s="971"/>
      <c r="R50" s="971"/>
      <c r="S50" s="971"/>
      <c r="T50" s="971"/>
      <c r="U50" s="971"/>
      <c r="V50" s="971"/>
      <c r="W50" s="971"/>
      <c r="X50" s="971"/>
      <c r="Y50" s="971"/>
      <c r="Z50" s="971"/>
      <c r="AA50" s="971"/>
      <c r="AB50" s="971"/>
      <c r="AC50" s="5"/>
      <c r="AD50" s="146"/>
      <c r="AE50" s="5"/>
      <c r="AF50" s="5"/>
      <c r="AG50" s="5"/>
      <c r="AH50" s="5"/>
      <c r="AI50" s="5"/>
      <c r="AJ50" s="5"/>
      <c r="AK50" s="5"/>
      <c r="AL50" s="5"/>
      <c r="AM50" s="5"/>
      <c r="AN50" s="5"/>
      <c r="AO50" s="5"/>
      <c r="AP50" s="5"/>
      <c r="AQ50" s="5"/>
      <c r="AR50" s="5"/>
      <c r="AS50" s="5"/>
      <c r="AT50" s="5"/>
      <c r="AU50" s="5"/>
      <c r="AV50" s="5"/>
      <c r="AW50" s="5"/>
      <c r="AX50" s="5"/>
      <c r="AY50" s="40"/>
      <c r="AZ50" s="5"/>
      <c r="BA50" s="5"/>
      <c r="BB50" s="5"/>
      <c r="BC50" s="5"/>
      <c r="BD50" s="5"/>
      <c r="BE50" s="5"/>
      <c r="BF50" s="5"/>
      <c r="BG50" s="5"/>
      <c r="BH50" s="5"/>
      <c r="BI50" s="5"/>
      <c r="BJ50" s="5"/>
      <c r="BK50" t="str">
        <f>UPPER('Données - Résidentiel'!J173)</f>
        <v>TEXTILES</v>
      </c>
    </row>
    <row r="51" spans="1:63" ht="6" hidden="1" customHeight="1" x14ac:dyDescent="0.25">
      <c r="A51" s="5"/>
      <c r="B51" s="146"/>
      <c r="C51" s="5"/>
      <c r="D51" s="104"/>
      <c r="E51" s="104"/>
      <c r="F51" s="104"/>
      <c r="G51" s="104"/>
      <c r="H51" s="104"/>
      <c r="I51" s="104"/>
      <c r="J51" s="104"/>
      <c r="K51" s="104"/>
      <c r="L51" s="104"/>
      <c r="M51" s="104"/>
      <c r="N51" s="104"/>
      <c r="O51" s="104"/>
      <c r="P51" s="104"/>
      <c r="Q51" s="104"/>
      <c r="R51" s="104"/>
      <c r="S51" s="104"/>
      <c r="T51" s="5"/>
      <c r="U51" s="5"/>
      <c r="V51" s="5"/>
      <c r="W51" s="5"/>
      <c r="X51" s="5"/>
      <c r="Y51" s="5"/>
      <c r="Z51" s="5"/>
      <c r="AA51" s="5"/>
      <c r="AB51" s="5"/>
      <c r="AC51" s="5"/>
      <c r="AD51" s="146"/>
      <c r="AE51" s="5"/>
      <c r="AF51" s="5"/>
      <c r="AG51" s="5"/>
      <c r="AH51" s="5"/>
      <c r="AI51" s="5"/>
      <c r="AJ51" s="5"/>
      <c r="AK51" s="5"/>
      <c r="AL51" s="5"/>
      <c r="AM51" s="5"/>
      <c r="AN51" s="5"/>
      <c r="AO51" s="5"/>
      <c r="AP51" s="5"/>
      <c r="AQ51" s="5"/>
      <c r="AR51" s="5"/>
      <c r="AS51" s="5"/>
      <c r="AT51" s="5"/>
      <c r="AU51" s="5"/>
      <c r="AV51" s="5"/>
      <c r="AW51" s="5"/>
      <c r="AX51" s="5"/>
      <c r="AY51" s="40"/>
      <c r="AZ51" s="5"/>
      <c r="BA51" s="5"/>
      <c r="BB51" s="5"/>
      <c r="BC51" s="5"/>
      <c r="BD51" s="5"/>
      <c r="BE51" s="5"/>
      <c r="BF51" s="5"/>
      <c r="BG51" s="5"/>
      <c r="BH51" s="5"/>
      <c r="BI51" s="5"/>
      <c r="BJ51" s="5"/>
    </row>
    <row r="52" spans="1:63" ht="19.5" customHeight="1" x14ac:dyDescent="0.25">
      <c r="A52" s="5"/>
      <c r="B52" s="146"/>
      <c r="C52" s="5"/>
      <c r="D52" s="5"/>
      <c r="E52" s="5"/>
      <c r="F52" s="5"/>
      <c r="G52" s="5"/>
      <c r="H52" s="5"/>
      <c r="I52" s="5"/>
      <c r="J52" s="5"/>
      <c r="K52" s="5"/>
      <c r="L52" s="5"/>
      <c r="M52" s="5"/>
      <c r="N52" s="5"/>
      <c r="O52" s="715" t="s">
        <v>285</v>
      </c>
      <c r="P52" s="715"/>
      <c r="Q52" s="715"/>
      <c r="R52" s="715"/>
      <c r="S52" s="26"/>
      <c r="T52" s="715" t="s">
        <v>286</v>
      </c>
      <c r="U52" s="715"/>
      <c r="V52" s="715"/>
      <c r="W52" s="715"/>
      <c r="X52" s="26"/>
      <c r="Y52" s="715" t="s">
        <v>287</v>
      </c>
      <c r="Z52" s="715"/>
      <c r="AA52" s="715"/>
      <c r="AB52" s="715"/>
      <c r="AC52" s="5"/>
      <c r="AD52" s="146"/>
      <c r="AE52" s="5"/>
      <c r="AF52" s="5"/>
      <c r="AG52" s="5"/>
      <c r="AH52" s="5"/>
      <c r="AI52" s="5"/>
      <c r="AJ52" s="5"/>
      <c r="AK52" s="5"/>
      <c r="AL52" s="5"/>
      <c r="AM52" s="5"/>
      <c r="AN52" s="5"/>
      <c r="AO52" s="5"/>
      <c r="AP52" s="5"/>
      <c r="AQ52" s="5"/>
      <c r="AR52" s="5"/>
      <c r="AS52" s="5"/>
      <c r="AT52" s="5"/>
      <c r="AU52" s="5"/>
      <c r="AV52" s="5"/>
      <c r="AW52" s="5"/>
      <c r="AX52" s="5"/>
      <c r="AY52" s="40"/>
      <c r="AZ52" s="5"/>
      <c r="BA52" s="5"/>
      <c r="BB52" s="5"/>
      <c r="BC52" s="5"/>
      <c r="BD52" s="5"/>
      <c r="BE52" s="5"/>
      <c r="BF52" s="5"/>
      <c r="BG52" s="5"/>
      <c r="BH52" s="5"/>
      <c r="BI52" s="5"/>
      <c r="BJ52" s="5"/>
    </row>
    <row r="53" spans="1:63" ht="23.25" x14ac:dyDescent="0.25">
      <c r="A53" s="5"/>
      <c r="B53" s="146"/>
      <c r="C53" s="5"/>
      <c r="D53" s="968" t="str">
        <f>'Données - Résidentiel'!I180</f>
        <v>Textiles</v>
      </c>
      <c r="E53" s="968"/>
      <c r="F53" s="968"/>
      <c r="G53" s="968"/>
      <c r="H53" s="968"/>
      <c r="I53" s="968"/>
      <c r="J53" s="968"/>
      <c r="K53" s="968"/>
      <c r="L53" s="968"/>
      <c r="M53" s="968"/>
      <c r="N53" s="968"/>
      <c r="O53" s="969" t="str">
        <f>'Données - Résidentiel'!BQ180</f>
        <v>N.D.</v>
      </c>
      <c r="P53" s="969"/>
      <c r="Q53" s="969"/>
      <c r="R53" s="969"/>
      <c r="S53" s="65"/>
      <c r="T53" s="969" t="str">
        <f>'Données - Résidentiel'!BV180</f>
        <v>N.D.</v>
      </c>
      <c r="U53" s="969"/>
      <c r="V53" s="969"/>
      <c r="W53" s="969"/>
      <c r="X53" s="65"/>
      <c r="Y53" s="969">
        <f>IF(AND(O53="",T53=""),"",SUM(O53,T53))</f>
        <v>0</v>
      </c>
      <c r="Z53" s="969"/>
      <c r="AA53" s="969"/>
      <c r="AB53" s="969"/>
      <c r="AC53" s="5"/>
      <c r="AD53" s="146"/>
      <c r="AE53" s="5"/>
      <c r="AF53" s="5"/>
      <c r="AG53" s="5"/>
      <c r="AH53" s="5"/>
      <c r="AI53" s="5"/>
      <c r="AJ53" s="5"/>
      <c r="AK53" s="5"/>
      <c r="AL53" s="5"/>
      <c r="AM53" s="5"/>
      <c r="AN53" s="5"/>
      <c r="AO53" s="5"/>
      <c r="AP53" s="5"/>
      <c r="AQ53" s="5"/>
      <c r="AR53" s="5"/>
      <c r="AS53" s="5"/>
      <c r="AT53" s="5"/>
      <c r="AU53" s="5"/>
      <c r="AV53" s="5"/>
      <c r="AW53" s="5"/>
      <c r="AX53" s="5"/>
      <c r="AY53" s="40"/>
      <c r="AZ53" s="5"/>
      <c r="BA53" s="5"/>
      <c r="BB53" s="5"/>
      <c r="BC53" s="5"/>
      <c r="BD53" s="5"/>
      <c r="BE53" s="5"/>
      <c r="BF53" s="5"/>
      <c r="BG53" s="5"/>
      <c r="BH53" s="5"/>
      <c r="BI53" s="5"/>
      <c r="BJ53" s="5"/>
    </row>
    <row r="54" spans="1:63" ht="15" customHeight="1" x14ac:dyDescent="0.25">
      <c r="A54" s="5"/>
      <c r="B54" s="146"/>
      <c r="C54" s="5"/>
      <c r="D54" s="103"/>
      <c r="E54" s="103"/>
      <c r="F54" s="103"/>
      <c r="G54" s="103"/>
      <c r="H54" s="103"/>
      <c r="I54" s="103"/>
      <c r="J54" s="103"/>
      <c r="K54" s="103"/>
      <c r="L54" s="103"/>
      <c r="M54" s="103"/>
      <c r="N54" s="103"/>
      <c r="O54" s="5"/>
      <c r="P54" s="5"/>
      <c r="Q54" s="5"/>
      <c r="R54" s="5"/>
      <c r="S54" s="5"/>
      <c r="T54" s="5"/>
      <c r="U54" s="5"/>
      <c r="V54" s="5"/>
      <c r="W54" s="5"/>
      <c r="X54" s="5"/>
      <c r="Y54" s="5"/>
      <c r="Z54" s="5"/>
      <c r="AA54" s="5"/>
      <c r="AB54" s="5"/>
      <c r="AC54" s="5"/>
      <c r="AD54" s="146"/>
      <c r="AE54" s="5"/>
      <c r="AF54" s="5"/>
      <c r="AG54" s="5"/>
      <c r="AH54" s="5"/>
      <c r="AI54" s="5"/>
      <c r="AJ54" s="5"/>
      <c r="AK54" s="5"/>
      <c r="AL54" s="5"/>
      <c r="AM54" s="5"/>
      <c r="AN54" s="5"/>
      <c r="AO54" s="5"/>
      <c r="AP54" s="5"/>
      <c r="AQ54" s="5"/>
      <c r="AR54" s="5"/>
      <c r="AS54" s="5"/>
      <c r="AT54" s="5"/>
      <c r="AU54" s="5"/>
      <c r="AV54" s="5"/>
      <c r="AW54" s="5"/>
      <c r="AX54" s="5"/>
      <c r="AY54" s="40"/>
      <c r="AZ54" s="5"/>
      <c r="BA54" s="5"/>
      <c r="BB54" s="5"/>
      <c r="BC54" s="5"/>
      <c r="BD54" s="5"/>
      <c r="BE54" s="5"/>
      <c r="BF54" s="5"/>
      <c r="BG54" s="5"/>
      <c r="BH54" s="5"/>
      <c r="BI54" s="5"/>
      <c r="BJ54" s="5"/>
    </row>
    <row r="55" spans="1:63" ht="22.5" customHeight="1" x14ac:dyDescent="0.25">
      <c r="A55" s="5"/>
      <c r="B55" s="146"/>
      <c r="C55" s="5"/>
      <c r="D55" s="103"/>
      <c r="E55" s="103"/>
      <c r="F55" s="103"/>
      <c r="G55" s="103"/>
      <c r="H55" s="103"/>
      <c r="I55" s="103"/>
      <c r="J55" s="103"/>
      <c r="K55" s="103"/>
      <c r="L55" s="103"/>
      <c r="M55" s="103"/>
      <c r="N55" s="103"/>
      <c r="O55" s="5"/>
      <c r="P55" s="5"/>
      <c r="Q55" s="5"/>
      <c r="R55" s="5"/>
      <c r="S55" s="5"/>
      <c r="T55" s="5"/>
      <c r="U55" s="5"/>
      <c r="V55" s="5"/>
      <c r="W55" s="5"/>
      <c r="X55" s="5"/>
      <c r="Y55" s="5"/>
      <c r="Z55" s="5"/>
      <c r="AA55" s="5"/>
      <c r="AB55" s="5"/>
      <c r="AC55" s="5"/>
      <c r="AD55" s="146"/>
      <c r="AE55" s="5"/>
      <c r="AF55" s="5"/>
      <c r="AG55" s="5"/>
      <c r="AH55" s="5"/>
      <c r="AI55" s="5"/>
      <c r="AJ55" s="5"/>
      <c r="AK55" s="5"/>
      <c r="AL55" s="5"/>
      <c r="AM55" s="5"/>
      <c r="AN55" s="5"/>
      <c r="AO55" s="5"/>
      <c r="AP55" s="5"/>
      <c r="AQ55" s="5"/>
      <c r="AR55" s="5"/>
      <c r="AS55" s="5"/>
      <c r="AT55" s="5"/>
      <c r="AU55" s="5"/>
      <c r="AV55" s="5"/>
      <c r="AW55" s="5"/>
      <c r="AX55" s="5"/>
      <c r="AY55" s="40"/>
      <c r="AZ55" s="5"/>
      <c r="BA55" s="5"/>
      <c r="BB55" s="5"/>
      <c r="BC55" s="5"/>
      <c r="BD55" s="5"/>
      <c r="BE55" s="5"/>
      <c r="BF55" s="5"/>
      <c r="BG55" s="5"/>
      <c r="BH55" s="5"/>
      <c r="BI55" s="5"/>
      <c r="BJ55" s="5"/>
    </row>
    <row r="56" spans="1:63" ht="33.75" customHeight="1" x14ac:dyDescent="0.25">
      <c r="A56" s="5"/>
      <c r="B56" s="146"/>
      <c r="C56" s="5"/>
      <c r="D56" s="972" t="str">
        <f>IF(res_utiliser_autres=menu_utilisateur,BK56&amp;retour&amp;utilisateur,BK56&amp;retour&amp;outil)</f>
        <v>AUTRES MATIÈRES RÉSIDUELLES
    (Données de l'outil)</v>
      </c>
      <c r="E56" s="972"/>
      <c r="F56" s="972"/>
      <c r="G56" s="972"/>
      <c r="H56" s="972"/>
      <c r="I56" s="972"/>
      <c r="J56" s="972"/>
      <c r="K56" s="972"/>
      <c r="L56" s="972"/>
      <c r="M56" s="972"/>
      <c r="N56" s="972"/>
      <c r="O56" s="971" t="str">
        <f>IF(OR(COUNTIF(O60:O65,N.D.)&gt;0,COUNTIF(T60:T65,N.D.)&gt;0,COUNTIF(Y60:Y65,N.D.)&gt;0),erreur2&amp;'Données - Résidentiel'!I189,"")</f>
        <v>Les données ci-dessous ne peuvent pas être complétées. Vérifiez la réponse à la question 2.7.</v>
      </c>
      <c r="P56" s="971"/>
      <c r="Q56" s="971"/>
      <c r="R56" s="971"/>
      <c r="S56" s="971"/>
      <c r="T56" s="971"/>
      <c r="U56" s="971"/>
      <c r="V56" s="971"/>
      <c r="W56" s="971"/>
      <c r="X56" s="971"/>
      <c r="Y56" s="971"/>
      <c r="Z56" s="971"/>
      <c r="AA56" s="971"/>
      <c r="AB56" s="971"/>
      <c r="AC56" s="5"/>
      <c r="AD56" s="146"/>
      <c r="AE56" s="5"/>
      <c r="AF56" s="5"/>
      <c r="AG56" s="5"/>
      <c r="AH56" s="5"/>
      <c r="AI56" s="5"/>
      <c r="AJ56" s="5"/>
      <c r="AK56" s="5"/>
      <c r="AL56" s="5"/>
      <c r="AM56" s="5"/>
      <c r="AN56" s="5"/>
      <c r="AO56" s="5"/>
      <c r="AP56" s="5"/>
      <c r="AQ56" s="5"/>
      <c r="AR56" s="5"/>
      <c r="AS56" s="5"/>
      <c r="AT56" s="5"/>
      <c r="AU56" s="5"/>
      <c r="AV56" s="5"/>
      <c r="AW56" s="5"/>
      <c r="AX56" s="5"/>
      <c r="AY56" s="40"/>
      <c r="AZ56" s="5"/>
      <c r="BA56" s="5"/>
      <c r="BB56" s="5"/>
      <c r="BC56" s="5"/>
      <c r="BD56" s="5"/>
      <c r="BE56" s="5"/>
      <c r="BF56" s="5"/>
      <c r="BG56" s="5"/>
      <c r="BH56" s="5"/>
      <c r="BI56" s="5"/>
      <c r="BJ56" s="5"/>
      <c r="BK56" t="str">
        <f>UPPER('Données - Résidentiel'!J189)</f>
        <v>AUTRES MATIÈRES RÉSIDUELLES</v>
      </c>
    </row>
    <row r="57" spans="1:63" ht="6" hidden="1" customHeight="1" x14ac:dyDescent="0.25">
      <c r="A57" s="5"/>
      <c r="B57" s="146"/>
      <c r="C57" s="5"/>
      <c r="D57" s="104"/>
      <c r="E57" s="104"/>
      <c r="F57" s="104"/>
      <c r="G57" s="104"/>
      <c r="H57" s="104"/>
      <c r="I57" s="104"/>
      <c r="J57" s="104"/>
      <c r="K57" s="104"/>
      <c r="L57" s="104"/>
      <c r="M57" s="104"/>
      <c r="N57" s="104"/>
      <c r="O57" s="104"/>
      <c r="P57" s="104"/>
      <c r="Q57" s="104"/>
      <c r="R57" s="104"/>
      <c r="S57" s="104"/>
      <c r="T57" s="5"/>
      <c r="U57" s="5"/>
      <c r="V57" s="5"/>
      <c r="W57" s="5"/>
      <c r="X57" s="5"/>
      <c r="Y57" s="5"/>
      <c r="Z57" s="5"/>
      <c r="AA57" s="5"/>
      <c r="AB57" s="5"/>
      <c r="AC57" s="5"/>
      <c r="AD57" s="146"/>
      <c r="AE57" s="5"/>
      <c r="AF57" s="5"/>
      <c r="AG57" s="5"/>
      <c r="AH57" s="5"/>
      <c r="AI57" s="5"/>
      <c r="AJ57" s="5"/>
      <c r="AK57" s="5"/>
      <c r="AL57" s="5"/>
      <c r="AM57" s="5"/>
      <c r="AN57" s="5"/>
      <c r="AO57" s="5"/>
      <c r="AP57" s="5"/>
      <c r="AQ57" s="5"/>
      <c r="AR57" s="5"/>
      <c r="AS57" s="5"/>
      <c r="AT57" s="5"/>
      <c r="AU57" s="5"/>
      <c r="AV57" s="5"/>
      <c r="AW57" s="5"/>
      <c r="AX57" s="5"/>
      <c r="AY57" s="40"/>
      <c r="AZ57" s="5"/>
      <c r="BA57" s="5"/>
      <c r="BB57" s="5"/>
      <c r="BC57" s="5"/>
      <c r="BD57" s="5"/>
      <c r="BE57" s="5"/>
      <c r="BF57" s="5"/>
      <c r="BG57" s="5"/>
      <c r="BH57" s="5"/>
      <c r="BI57" s="5"/>
      <c r="BJ57" s="5"/>
    </row>
    <row r="58" spans="1:63" ht="19.5" customHeight="1" x14ac:dyDescent="0.25">
      <c r="A58" s="5"/>
      <c r="B58" s="146"/>
      <c r="C58" s="5"/>
      <c r="D58" s="5"/>
      <c r="E58" s="5"/>
      <c r="F58" s="5"/>
      <c r="G58" s="5"/>
      <c r="H58" s="5"/>
      <c r="I58" s="5"/>
      <c r="J58" s="5"/>
      <c r="K58" s="5"/>
      <c r="L58" s="5"/>
      <c r="M58" s="5"/>
      <c r="N58" s="5"/>
      <c r="O58" s="715" t="s">
        <v>285</v>
      </c>
      <c r="P58" s="715"/>
      <c r="Q58" s="715"/>
      <c r="R58" s="715"/>
      <c r="S58" s="26"/>
      <c r="T58" s="715" t="s">
        <v>286</v>
      </c>
      <c r="U58" s="715"/>
      <c r="V58" s="715"/>
      <c r="W58" s="715"/>
      <c r="X58" s="26"/>
      <c r="Y58" s="715" t="s">
        <v>287</v>
      </c>
      <c r="Z58" s="715"/>
      <c r="AA58" s="715"/>
      <c r="AB58" s="715"/>
      <c r="AC58" s="5"/>
      <c r="AD58" s="146"/>
      <c r="AE58" s="5"/>
      <c r="AF58" s="5"/>
      <c r="AG58" s="5"/>
      <c r="AH58" s="5"/>
      <c r="AI58" s="5"/>
      <c r="AJ58" s="5"/>
      <c r="AK58" s="5"/>
      <c r="AL58" s="5"/>
      <c r="AM58" s="5"/>
      <c r="AN58" s="5"/>
      <c r="AO58" s="5"/>
      <c r="AP58" s="5"/>
      <c r="AQ58" s="5"/>
      <c r="AR58" s="5"/>
      <c r="AS58" s="5"/>
      <c r="AT58" s="5"/>
      <c r="AU58" s="5"/>
      <c r="AV58" s="5"/>
      <c r="AW58" s="5"/>
      <c r="AX58" s="5"/>
      <c r="AY58" s="40"/>
      <c r="AZ58" s="5"/>
      <c r="BA58" s="5"/>
      <c r="BB58" s="5"/>
      <c r="BC58" s="5"/>
      <c r="BD58" s="5"/>
      <c r="BE58" s="5"/>
      <c r="BF58" s="5"/>
      <c r="BG58" s="5"/>
      <c r="BH58" s="5"/>
      <c r="BI58" s="5"/>
      <c r="BJ58" s="5"/>
    </row>
    <row r="59" spans="1:63" ht="44.25" customHeight="1" x14ac:dyDescent="0.25">
      <c r="A59" s="5"/>
      <c r="B59" s="146"/>
      <c r="C59" s="5"/>
      <c r="D59" s="997" t="str">
        <f>"Rejets des centres de tri et des centres de valorisation des matières organiques"&amp;IF(res_utiliser_rejets=menu_utilisateur,utilisateur,outil)</f>
        <v>Rejets des centres de tri et des centres de valorisation des matières organiques (Données de l'outil)</v>
      </c>
      <c r="E59" s="729"/>
      <c r="F59" s="729"/>
      <c r="G59" s="729"/>
      <c r="H59" s="729"/>
      <c r="I59" s="729"/>
      <c r="J59" s="729"/>
      <c r="K59" s="729"/>
      <c r="L59" s="729"/>
      <c r="M59" s="729"/>
      <c r="N59" s="729"/>
      <c r="O59" s="996">
        <f>'Données - Résidentiel'!BQ203</f>
        <v>0</v>
      </c>
      <c r="P59" s="996"/>
      <c r="Q59" s="996"/>
      <c r="R59" s="996"/>
      <c r="S59" s="183"/>
      <c r="T59" s="996" t="str">
        <f>'Données - Résidentiel'!BV207</f>
        <v>N.D.</v>
      </c>
      <c r="U59" s="996"/>
      <c r="V59" s="996"/>
      <c r="W59" s="996"/>
      <c r="X59" s="183"/>
      <c r="Y59" s="996" t="str">
        <f>IF(AND(O59="",T59=""),"",IF(T59=N.D.,N.D.,SUM(O59,T59)))</f>
        <v>N.D.</v>
      </c>
      <c r="Z59" s="996"/>
      <c r="AA59" s="996"/>
      <c r="AB59" s="996"/>
      <c r="AC59" s="5"/>
      <c r="AD59" s="146"/>
      <c r="AE59" s="5"/>
      <c r="AF59" s="5"/>
      <c r="AG59" s="5"/>
      <c r="AH59" s="5"/>
      <c r="AI59" s="5"/>
      <c r="AJ59" s="5"/>
      <c r="AK59" s="5"/>
      <c r="AL59" s="5"/>
      <c r="AM59" s="5"/>
      <c r="AN59" s="5"/>
      <c r="AO59" s="5"/>
      <c r="AP59" s="5"/>
      <c r="AQ59" s="5"/>
      <c r="AR59" s="5"/>
      <c r="AS59" s="5"/>
      <c r="AT59" s="5"/>
      <c r="AU59" s="5"/>
      <c r="AV59" s="5"/>
      <c r="AW59" s="5"/>
      <c r="AX59" s="5"/>
      <c r="AY59" s="40"/>
      <c r="AZ59" s="5"/>
      <c r="BA59" s="5"/>
      <c r="BB59" s="5"/>
      <c r="BC59" s="5"/>
      <c r="BD59" s="5"/>
      <c r="BE59" s="5"/>
      <c r="BF59" s="5"/>
      <c r="BG59" s="5"/>
      <c r="BH59" s="5"/>
      <c r="BI59" s="5"/>
      <c r="BJ59" s="5"/>
    </row>
    <row r="60" spans="1:63" ht="22.5" customHeight="1" x14ac:dyDescent="0.25">
      <c r="A60" s="5"/>
      <c r="B60" s="146"/>
      <c r="C60" s="5"/>
      <c r="D60" s="16" t="s">
        <v>250</v>
      </c>
      <c r="E60" s="982" t="s">
        <v>594</v>
      </c>
      <c r="F60" s="982"/>
      <c r="G60" s="982"/>
      <c r="H60" s="982"/>
      <c r="I60" s="982"/>
      <c r="J60" s="982"/>
      <c r="K60" s="982"/>
      <c r="L60" s="982"/>
      <c r="M60" s="982"/>
      <c r="N60" s="982"/>
      <c r="O60" s="969">
        <v>0</v>
      </c>
      <c r="P60" s="969"/>
      <c r="Q60" s="969"/>
      <c r="R60" s="969"/>
      <c r="S60" s="65"/>
      <c r="T60" s="969" t="str">
        <f>'Données - Résidentiel'!BV204</f>
        <v>N.D.</v>
      </c>
      <c r="U60" s="969"/>
      <c r="V60" s="969"/>
      <c r="W60" s="969"/>
      <c r="X60" s="65"/>
      <c r="Y60" s="970" t="str">
        <f>IF(AND(O60="",T60=""),"",IF(T60=N.D.,N.D.,SUM(O60,T60)))</f>
        <v>N.D.</v>
      </c>
      <c r="Z60" s="970"/>
      <c r="AA60" s="970"/>
      <c r="AB60" s="970"/>
      <c r="AC60" s="5"/>
      <c r="AD60" s="146"/>
      <c r="AE60" s="5"/>
      <c r="AF60" s="5"/>
      <c r="AG60" s="5"/>
      <c r="AH60" s="5"/>
      <c r="AI60" s="5"/>
      <c r="AJ60" s="5"/>
      <c r="AK60" s="5"/>
      <c r="AL60" s="5"/>
      <c r="AM60" s="5"/>
      <c r="AN60" s="5"/>
      <c r="AO60" s="5"/>
      <c r="AP60" s="5"/>
      <c r="AQ60" s="5"/>
      <c r="AR60" s="5"/>
      <c r="AS60" s="5"/>
      <c r="AT60" s="5"/>
      <c r="AU60" s="5"/>
      <c r="AV60" s="5"/>
      <c r="AW60" s="5"/>
      <c r="AX60" s="5"/>
      <c r="AY60" s="40"/>
      <c r="AZ60" s="5"/>
      <c r="BA60" s="5"/>
      <c r="BB60" s="5"/>
      <c r="BC60" s="5"/>
      <c r="BD60" s="5"/>
      <c r="BE60" s="5"/>
      <c r="BF60" s="5"/>
      <c r="BG60" s="5"/>
      <c r="BH60" s="5"/>
      <c r="BI60" s="5"/>
      <c r="BJ60" s="5"/>
    </row>
    <row r="61" spans="1:63" ht="22.5" customHeight="1" x14ac:dyDescent="0.25">
      <c r="A61" s="5"/>
      <c r="B61" s="146"/>
      <c r="C61" s="5"/>
      <c r="D61" s="16" t="s">
        <v>250</v>
      </c>
      <c r="E61" s="982" t="s">
        <v>609</v>
      </c>
      <c r="F61" s="982"/>
      <c r="G61" s="982"/>
      <c r="H61" s="982"/>
      <c r="I61" s="982"/>
      <c r="J61" s="982"/>
      <c r="K61" s="982"/>
      <c r="L61" s="982"/>
      <c r="M61" s="982"/>
      <c r="N61" s="982"/>
      <c r="O61" s="969">
        <v>0</v>
      </c>
      <c r="P61" s="969"/>
      <c r="Q61" s="969"/>
      <c r="R61" s="969"/>
      <c r="S61" s="65"/>
      <c r="T61" s="969" t="str">
        <f>'Données - Résidentiel'!BV205</f>
        <v>N.D.</v>
      </c>
      <c r="U61" s="969"/>
      <c r="V61" s="969"/>
      <c r="W61" s="969"/>
      <c r="X61" s="65"/>
      <c r="Y61" s="970" t="str">
        <f>IF(AND(O61="",T61=""),"",IF(T61=N.D.,N.D.,SUM(O61,T61)))</f>
        <v>N.D.</v>
      </c>
      <c r="Z61" s="970"/>
      <c r="AA61" s="970"/>
      <c r="AB61" s="970"/>
      <c r="AC61" s="5"/>
      <c r="AD61" s="146"/>
      <c r="AE61" s="5"/>
      <c r="AF61" s="5"/>
      <c r="AG61" s="5"/>
      <c r="AH61" s="5"/>
      <c r="AI61" s="5"/>
      <c r="AJ61" s="5"/>
      <c r="AK61" s="5"/>
      <c r="AL61" s="5"/>
      <c r="AM61" s="5"/>
      <c r="AN61" s="5"/>
      <c r="AO61" s="5"/>
      <c r="AP61" s="5"/>
      <c r="AQ61" s="5"/>
      <c r="AR61" s="5"/>
      <c r="AS61" s="5"/>
      <c r="AT61" s="5"/>
      <c r="AU61" s="5"/>
      <c r="AV61" s="5"/>
      <c r="AW61" s="5"/>
      <c r="AX61" s="5"/>
      <c r="AY61" s="40"/>
      <c r="AZ61" s="5"/>
      <c r="BA61" s="5"/>
      <c r="BB61" s="5"/>
      <c r="BC61" s="5"/>
      <c r="BD61" s="5"/>
      <c r="BE61" s="5"/>
      <c r="BF61" s="5"/>
      <c r="BG61" s="5"/>
      <c r="BH61" s="5"/>
      <c r="BI61" s="5"/>
      <c r="BJ61" s="5"/>
    </row>
    <row r="62" spans="1:63" ht="33.75" customHeight="1" x14ac:dyDescent="0.25">
      <c r="A62" s="5"/>
      <c r="B62" s="146"/>
      <c r="C62" s="5"/>
      <c r="D62" s="997" t="str">
        <f>"Résidus domestiques dangereux (RDD)"&amp;IF(res_utiliser_autres=menu_utilisateur,utilisateur,outil)</f>
        <v>Résidus domestiques dangereux (RDD) (Données de l'outil)</v>
      </c>
      <c r="E62" s="729"/>
      <c r="F62" s="729"/>
      <c r="G62" s="729"/>
      <c r="H62" s="729"/>
      <c r="I62" s="729"/>
      <c r="J62" s="729"/>
      <c r="K62" s="729"/>
      <c r="L62" s="729"/>
      <c r="M62" s="729"/>
      <c r="N62" s="729"/>
      <c r="O62" s="969" t="str">
        <f>'Données - Résidentiel'!BQ220</f>
        <v>N.D.</v>
      </c>
      <c r="P62" s="969"/>
      <c r="Q62" s="969"/>
      <c r="R62" s="969"/>
      <c r="S62" s="65"/>
      <c r="T62" s="969" t="str">
        <f>'Données - Résidentiel'!BV220</f>
        <v>N.D.</v>
      </c>
      <c r="U62" s="969"/>
      <c r="V62" s="969"/>
      <c r="W62" s="969"/>
      <c r="X62" s="65"/>
      <c r="Y62" s="969">
        <f>IF(AND(O62="",T62=""),"",SUM(O62,T62))</f>
        <v>0</v>
      </c>
      <c r="Z62" s="969"/>
      <c r="AA62" s="969"/>
      <c r="AB62" s="969"/>
      <c r="AC62" s="5"/>
      <c r="AD62" s="146"/>
      <c r="AE62" s="5"/>
      <c r="AF62" s="5"/>
      <c r="AG62" s="5"/>
      <c r="AH62" s="5"/>
      <c r="AI62" s="5"/>
      <c r="AJ62" s="5"/>
      <c r="AK62" s="5"/>
      <c r="AL62" s="5"/>
      <c r="AM62" s="5"/>
      <c r="AN62" s="5"/>
      <c r="AO62" s="5"/>
      <c r="AP62" s="5"/>
      <c r="AQ62" s="5"/>
      <c r="AR62" s="5"/>
      <c r="AS62" s="5"/>
      <c r="AT62" s="5"/>
      <c r="AU62" s="5"/>
      <c r="AV62" s="5"/>
      <c r="AW62" s="5"/>
      <c r="AX62" s="5"/>
      <c r="AY62" s="40"/>
      <c r="AZ62" s="5"/>
      <c r="BA62" s="5"/>
      <c r="BB62" s="5"/>
      <c r="BC62" s="5"/>
      <c r="BD62" s="5"/>
      <c r="BE62" s="5"/>
      <c r="BF62" s="5"/>
      <c r="BG62" s="5"/>
      <c r="BH62" s="5"/>
      <c r="BI62" s="5"/>
      <c r="BJ62" s="5"/>
    </row>
    <row r="63" spans="1:63" ht="23.25" customHeight="1" x14ac:dyDescent="0.25">
      <c r="A63" s="5"/>
      <c r="B63" s="146"/>
      <c r="C63" s="5"/>
      <c r="D63" s="997" t="str">
        <f>'Données - Résidentiel'!I222&amp;IF(res_utiliser_autres=menu_utilisateur,utilisateur,outil)</f>
        <v>Encombrants (Données de l'outil)</v>
      </c>
      <c r="E63" s="729"/>
      <c r="F63" s="729"/>
      <c r="G63" s="729"/>
      <c r="H63" s="729"/>
      <c r="I63" s="729"/>
      <c r="J63" s="729"/>
      <c r="K63" s="729"/>
      <c r="L63" s="729"/>
      <c r="M63" s="729"/>
      <c r="N63" s="729"/>
      <c r="O63" s="996" t="str">
        <f>'Données - Résidentiel'!BQ221</f>
        <v>N.D.</v>
      </c>
      <c r="P63" s="996"/>
      <c r="Q63" s="996"/>
      <c r="R63" s="996"/>
      <c r="S63" s="183"/>
      <c r="T63" s="996" t="str">
        <f>'Données - Résidentiel'!BV221</f>
        <v>N.D.</v>
      </c>
      <c r="U63" s="996"/>
      <c r="V63" s="996"/>
      <c r="W63" s="996"/>
      <c r="X63" s="183"/>
      <c r="Y63" s="996">
        <f>IF(AND(O63="",T63=""),"",SUM(O63,T63))</f>
        <v>0</v>
      </c>
      <c r="Z63" s="996"/>
      <c r="AA63" s="996"/>
      <c r="AB63" s="996"/>
      <c r="AC63" s="5"/>
      <c r="AD63" s="146"/>
      <c r="AE63" s="5"/>
      <c r="AF63" s="5"/>
      <c r="AG63" s="5"/>
      <c r="AH63" s="5"/>
      <c r="AI63" s="5"/>
      <c r="AJ63" s="5"/>
      <c r="AK63" s="5"/>
      <c r="AL63" s="5"/>
      <c r="AM63" s="5"/>
      <c r="AN63" s="5"/>
      <c r="AO63" s="5"/>
      <c r="AP63" s="5"/>
      <c r="AQ63" s="5"/>
      <c r="AR63" s="5"/>
      <c r="AS63" s="5"/>
      <c r="AT63" s="5"/>
      <c r="AU63" s="5"/>
      <c r="AV63" s="5"/>
      <c r="AW63" s="5"/>
      <c r="AX63" s="5"/>
      <c r="AY63" s="40"/>
      <c r="AZ63" s="5"/>
      <c r="BA63" s="5"/>
      <c r="BB63" s="5"/>
      <c r="BC63" s="5"/>
      <c r="BD63" s="5"/>
      <c r="BE63" s="5"/>
      <c r="BF63" s="5"/>
      <c r="BG63" s="5"/>
      <c r="BH63" s="5"/>
      <c r="BI63" s="5"/>
      <c r="BJ63" s="5"/>
    </row>
    <row r="64" spans="1:63" ht="23.25" customHeight="1" x14ac:dyDescent="0.25">
      <c r="A64" s="5"/>
      <c r="B64" s="146"/>
      <c r="C64" s="5"/>
      <c r="D64" s="16" t="str">
        <f>'Données - Résidentiel'!I223</f>
        <v>Ä</v>
      </c>
      <c r="E64" s="982" t="str">
        <f>'Données - Résidentiel'!J223</f>
        <v>Métalliques</v>
      </c>
      <c r="F64" s="982"/>
      <c r="G64" s="982"/>
      <c r="H64" s="982"/>
      <c r="I64" s="982"/>
      <c r="J64" s="982"/>
      <c r="K64" s="982"/>
      <c r="L64" s="982"/>
      <c r="M64" s="982"/>
      <c r="N64" s="982"/>
      <c r="O64" s="969" t="str">
        <f>'Données - Résidentiel'!BQ222</f>
        <v>N.D.</v>
      </c>
      <c r="P64" s="969"/>
      <c r="Q64" s="969"/>
      <c r="R64" s="969"/>
      <c r="S64" s="65"/>
      <c r="T64" s="969" t="str">
        <f>'Données - Résidentiel'!BV222</f>
        <v>N.D.</v>
      </c>
      <c r="U64" s="969"/>
      <c r="V64" s="969"/>
      <c r="W64" s="969"/>
      <c r="X64" s="65"/>
      <c r="Y64" s="969">
        <f>IF(AND(O64="",T64=""),"",SUM(O64,T64))</f>
        <v>0</v>
      </c>
      <c r="Z64" s="969"/>
      <c r="AA64" s="969"/>
      <c r="AB64" s="969"/>
      <c r="AC64" s="5"/>
      <c r="AD64" s="146"/>
      <c r="AE64" s="5"/>
      <c r="AF64" s="5"/>
      <c r="AG64" s="5"/>
      <c r="AH64" s="5"/>
      <c r="AI64" s="5"/>
      <c r="AJ64" s="5"/>
      <c r="AK64" s="5"/>
      <c r="AL64" s="5"/>
      <c r="AM64" s="5"/>
      <c r="AN64" s="5"/>
      <c r="AO64" s="5"/>
      <c r="AP64" s="5"/>
      <c r="AQ64" s="5"/>
      <c r="AR64" s="5"/>
      <c r="AS64" s="5"/>
      <c r="AT64" s="5"/>
      <c r="AU64" s="5"/>
      <c r="AV64" s="5"/>
      <c r="AW64" s="5"/>
      <c r="AX64" s="5"/>
      <c r="AY64" s="40"/>
      <c r="AZ64" s="5"/>
      <c r="BA64" s="5"/>
      <c r="BB64" s="5"/>
      <c r="BC64" s="5"/>
      <c r="BD64" s="5"/>
      <c r="BE64" s="5"/>
      <c r="BF64" s="5"/>
      <c r="BG64" s="5"/>
      <c r="BH64" s="5"/>
      <c r="BI64" s="5"/>
      <c r="BJ64" s="5"/>
    </row>
    <row r="65" spans="1:62" ht="23.25" customHeight="1" x14ac:dyDescent="0.25">
      <c r="A65" s="5"/>
      <c r="B65" s="146"/>
      <c r="C65" s="5"/>
      <c r="D65" s="16" t="str">
        <f>'Données - Résidentiel'!I224</f>
        <v>Ä</v>
      </c>
      <c r="E65" s="982" t="str">
        <f>'Données - Résidentiel'!J224</f>
        <v>Non-métalliques</v>
      </c>
      <c r="F65" s="982"/>
      <c r="G65" s="982"/>
      <c r="H65" s="982"/>
      <c r="I65" s="982"/>
      <c r="J65" s="982"/>
      <c r="K65" s="982"/>
      <c r="L65" s="982"/>
      <c r="M65" s="982"/>
      <c r="N65" s="982"/>
      <c r="O65" s="969" t="str">
        <f>'Données - Résidentiel'!BQ223</f>
        <v>N.D.</v>
      </c>
      <c r="P65" s="969"/>
      <c r="Q65" s="969"/>
      <c r="R65" s="969"/>
      <c r="S65" s="65"/>
      <c r="T65" s="969" t="str">
        <f>'Données - Résidentiel'!BV223</f>
        <v>N.D.</v>
      </c>
      <c r="U65" s="969"/>
      <c r="V65" s="969"/>
      <c r="W65" s="969"/>
      <c r="X65" s="65"/>
      <c r="Y65" s="969">
        <f>IF(AND(O65="",T65=""),"",SUM(O65,T65))</f>
        <v>0</v>
      </c>
      <c r="Z65" s="969"/>
      <c r="AA65" s="969"/>
      <c r="AB65" s="969"/>
      <c r="AC65" s="5"/>
      <c r="AD65" s="146"/>
      <c r="AE65" s="5"/>
      <c r="AF65" s="5"/>
      <c r="AG65" s="5"/>
      <c r="AH65" s="5"/>
      <c r="AI65" s="5"/>
      <c r="AJ65" s="5"/>
      <c r="AK65" s="5"/>
      <c r="AL65" s="5"/>
      <c r="AM65" s="5"/>
      <c r="AN65" s="5"/>
      <c r="AO65" s="5"/>
      <c r="AP65" s="5"/>
      <c r="AQ65" s="5"/>
      <c r="AR65" s="5"/>
      <c r="AS65" s="5"/>
      <c r="AT65" s="5"/>
      <c r="AU65" s="5"/>
      <c r="AV65" s="5"/>
      <c r="AW65" s="5"/>
      <c r="AX65" s="5"/>
      <c r="AY65" s="40"/>
      <c r="AZ65" s="5"/>
      <c r="BA65" s="5"/>
      <c r="BB65" s="5"/>
      <c r="BC65" s="5"/>
      <c r="BD65" s="5"/>
      <c r="BE65" s="5"/>
      <c r="BF65" s="5"/>
      <c r="BG65" s="5"/>
      <c r="BH65" s="5"/>
      <c r="BI65" s="5"/>
      <c r="BJ65" s="5"/>
    </row>
    <row r="66" spans="1:62" ht="11.25" customHeight="1" x14ac:dyDescent="0.25">
      <c r="A66" s="5"/>
      <c r="B66" s="146"/>
      <c r="C66" s="5"/>
      <c r="D66" s="143"/>
      <c r="E66" s="143"/>
      <c r="F66" s="143"/>
      <c r="G66" s="143"/>
      <c r="H66" s="143"/>
      <c r="I66" s="143"/>
      <c r="J66" s="143"/>
      <c r="K66" s="143"/>
      <c r="L66" s="103"/>
      <c r="M66" s="103"/>
      <c r="N66" s="103"/>
      <c r="O66" s="5"/>
      <c r="P66" s="5"/>
      <c r="Q66" s="5"/>
      <c r="R66" s="5"/>
      <c r="S66" s="5"/>
      <c r="T66" s="5"/>
      <c r="U66" s="5"/>
      <c r="V66" s="5"/>
      <c r="W66" s="5"/>
      <c r="X66" s="5"/>
      <c r="Y66" s="5"/>
      <c r="Z66" s="5"/>
      <c r="AA66" s="5"/>
      <c r="AB66" s="5"/>
      <c r="AC66" s="5"/>
      <c r="AD66" s="146"/>
      <c r="AE66" s="5"/>
      <c r="AF66" s="5"/>
      <c r="AG66" s="5"/>
      <c r="AH66" s="5"/>
      <c r="AI66" s="5"/>
      <c r="AJ66" s="5"/>
      <c r="AK66" s="5"/>
      <c r="AL66" s="5"/>
      <c r="AM66" s="5"/>
      <c r="AN66" s="5"/>
      <c r="AO66" s="5"/>
      <c r="AP66" s="5"/>
      <c r="AQ66" s="5"/>
      <c r="AR66" s="5"/>
      <c r="AS66" s="5"/>
      <c r="AT66" s="5"/>
      <c r="AU66" s="5"/>
      <c r="AV66" s="5"/>
      <c r="AW66" s="5"/>
      <c r="AX66" s="5"/>
      <c r="AY66" s="40"/>
      <c r="AZ66" s="5"/>
      <c r="BA66" s="5"/>
      <c r="BB66" s="5"/>
      <c r="BC66" s="5"/>
      <c r="BD66" s="5"/>
      <c r="BE66" s="5"/>
      <c r="BF66" s="5"/>
      <c r="BG66" s="5"/>
      <c r="BH66" s="5"/>
      <c r="BI66" s="5"/>
      <c r="BJ66" s="5"/>
    </row>
    <row r="67" spans="1:62" ht="23.25" x14ac:dyDescent="0.25">
      <c r="A67" s="5"/>
      <c r="B67" s="146"/>
      <c r="C67" s="5"/>
      <c r="D67" s="730" t="str">
        <f>'Données - Résidentiel'!I226</f>
        <v>Total</v>
      </c>
      <c r="E67" s="730"/>
      <c r="F67" s="730"/>
      <c r="G67" s="730"/>
      <c r="H67" s="730"/>
      <c r="I67" s="730"/>
      <c r="J67" s="730"/>
      <c r="K67" s="730"/>
      <c r="L67" s="730"/>
      <c r="M67" s="730"/>
      <c r="N67" s="730"/>
      <c r="O67" s="974">
        <f>SUM(O59,O62:O63)</f>
        <v>0</v>
      </c>
      <c r="P67" s="974"/>
      <c r="Q67" s="974"/>
      <c r="R67" s="974"/>
      <c r="S67" s="214"/>
      <c r="T67" s="974">
        <f>SUM(T59,T62:T63)</f>
        <v>0</v>
      </c>
      <c r="U67" s="974"/>
      <c r="V67" s="974"/>
      <c r="W67" s="974"/>
      <c r="X67" s="214"/>
      <c r="Y67" s="974">
        <f>IF(AND(O67="",T67=""),"",SUM(O67,T67))</f>
        <v>0</v>
      </c>
      <c r="Z67" s="974"/>
      <c r="AA67" s="974"/>
      <c r="AB67" s="974"/>
      <c r="AC67" s="5"/>
      <c r="AD67" s="146"/>
      <c r="AE67" s="5"/>
      <c r="AF67" s="5"/>
      <c r="AG67" s="5"/>
      <c r="AH67" s="5"/>
      <c r="AI67" s="5"/>
      <c r="AJ67" s="5"/>
      <c r="AK67" s="5"/>
      <c r="AL67" s="5"/>
      <c r="AM67" s="5"/>
      <c r="AN67" s="5"/>
      <c r="AO67" s="5"/>
      <c r="AP67" s="5"/>
      <c r="AQ67" s="5"/>
      <c r="AR67" s="5"/>
      <c r="AS67" s="5"/>
      <c r="AT67" s="5"/>
      <c r="AU67" s="5"/>
      <c r="AV67" s="5"/>
      <c r="AW67" s="5"/>
      <c r="AX67" s="5"/>
      <c r="AY67" s="40"/>
      <c r="AZ67" s="5"/>
      <c r="BA67" s="5"/>
      <c r="BB67" s="5"/>
      <c r="BC67" s="5"/>
      <c r="BD67" s="5"/>
      <c r="BE67" s="5"/>
      <c r="BF67" s="5"/>
      <c r="BG67" s="5"/>
      <c r="BH67" s="5"/>
      <c r="BI67" s="5"/>
      <c r="BJ67" s="5"/>
    </row>
    <row r="68" spans="1:62" ht="37.5" customHeight="1" x14ac:dyDescent="0.25">
      <c r="A68" s="5"/>
      <c r="B68" s="146"/>
      <c r="C68" s="5"/>
      <c r="D68" s="103"/>
      <c r="E68" s="103"/>
      <c r="F68" s="103"/>
      <c r="G68" s="103"/>
      <c r="H68" s="103"/>
      <c r="I68" s="103"/>
      <c r="J68" s="103"/>
      <c r="K68" s="103"/>
      <c r="L68" s="103"/>
      <c r="M68" s="103"/>
      <c r="N68" s="103"/>
      <c r="O68" s="5"/>
      <c r="P68" s="5"/>
      <c r="Q68" s="5"/>
      <c r="R68" s="5"/>
      <c r="S68" s="5"/>
      <c r="T68" s="5"/>
      <c r="U68" s="5"/>
      <c r="V68" s="5"/>
      <c r="W68" s="5"/>
      <c r="X68" s="5"/>
      <c r="Y68" s="5"/>
      <c r="Z68" s="5"/>
      <c r="AA68" s="5"/>
      <c r="AB68" s="5"/>
      <c r="AC68" s="5"/>
      <c r="AD68" s="146"/>
      <c r="AE68" s="5"/>
      <c r="AF68" s="5"/>
      <c r="AG68" s="5"/>
      <c r="AH68" s="5"/>
      <c r="AI68" s="5"/>
      <c r="AJ68" s="5"/>
      <c r="AK68" s="5"/>
      <c r="AL68" s="5"/>
      <c r="AM68" s="5"/>
      <c r="AN68" s="5"/>
      <c r="AO68" s="5"/>
      <c r="AP68" s="5"/>
      <c r="AQ68" s="5"/>
      <c r="AR68" s="5"/>
      <c r="AS68" s="5"/>
      <c r="AT68" s="5"/>
      <c r="AU68" s="5"/>
      <c r="AV68" s="5"/>
      <c r="AW68" s="5"/>
      <c r="AX68" s="5"/>
      <c r="AY68" s="40"/>
      <c r="AZ68" s="5"/>
      <c r="BA68" s="5"/>
      <c r="BB68" s="5"/>
      <c r="BC68" s="5"/>
      <c r="BD68" s="5"/>
      <c r="BE68" s="5"/>
      <c r="BF68" s="5"/>
      <c r="BG68" s="5"/>
      <c r="BH68" s="5"/>
      <c r="BI68" s="5"/>
      <c r="BJ68" s="5"/>
    </row>
    <row r="69" spans="1:62" ht="23.25" customHeight="1" x14ac:dyDescent="0.25">
      <c r="A69" s="5"/>
      <c r="B69" s="146"/>
      <c r="C69" s="5"/>
      <c r="D69" s="986" t="s">
        <v>608</v>
      </c>
      <c r="E69" s="972"/>
      <c r="F69" s="972"/>
      <c r="G69" s="972"/>
      <c r="H69" s="972"/>
      <c r="I69" s="972"/>
      <c r="J69" s="972"/>
      <c r="K69" s="972"/>
      <c r="L69" s="972"/>
      <c r="M69" s="972"/>
      <c r="N69" s="972"/>
      <c r="O69" s="971" t="str">
        <f>IF(T71=N.D.,erreur2&amp;'Données - Résidentiel'!I5&amp;", "&amp;'Données - Résidentiel'!I22&amp;", "&amp;'Données - Résidentiel'!I51&amp;", "&amp;'Données - Résidentiel'!I157&amp;", "&amp;'Données - Résidentiel'!I173&amp;" et "&amp;'Données - Résidentiel'!I189,"")</f>
        <v>Les données ci-dessous ne peuvent pas être complétées. Vérifiez la réponse à la question 2.1., 2.2., 2.3., 2.5., 2.6. et 2.7.</v>
      </c>
      <c r="P69" s="971"/>
      <c r="Q69" s="971"/>
      <c r="R69" s="971"/>
      <c r="S69" s="971"/>
      <c r="T69" s="971"/>
      <c r="U69" s="971"/>
      <c r="V69" s="971"/>
      <c r="W69" s="971"/>
      <c r="X69" s="971"/>
      <c r="Y69" s="971"/>
      <c r="Z69" s="971"/>
      <c r="AA69" s="971"/>
      <c r="AB69" s="971"/>
      <c r="AC69" s="5"/>
      <c r="AD69" s="146"/>
      <c r="AE69" s="5"/>
      <c r="AF69" s="5"/>
      <c r="AG69" s="5"/>
      <c r="AH69" s="5"/>
      <c r="AI69" s="5"/>
      <c r="AJ69" s="5"/>
      <c r="AK69" s="5"/>
      <c r="AL69" s="5"/>
      <c r="AM69" s="5"/>
      <c r="AN69" s="5"/>
      <c r="AO69" s="5"/>
      <c r="AP69" s="5"/>
      <c r="AQ69" s="5"/>
      <c r="AR69" s="5"/>
      <c r="AS69" s="5"/>
      <c r="AT69" s="5"/>
      <c r="AU69" s="5"/>
      <c r="AV69" s="5"/>
      <c r="AW69" s="5"/>
      <c r="AX69" s="5"/>
      <c r="AY69" s="40"/>
      <c r="AZ69" s="5"/>
      <c r="BA69" s="5"/>
      <c r="BB69" s="5"/>
      <c r="BC69" s="5"/>
      <c r="BD69" s="5"/>
      <c r="BE69" s="5"/>
      <c r="BF69" s="5"/>
      <c r="BG69" s="5"/>
      <c r="BH69" s="5"/>
      <c r="BI69" s="5"/>
      <c r="BJ69" s="5"/>
    </row>
    <row r="70" spans="1:62" ht="18.75" customHeight="1" x14ac:dyDescent="0.25">
      <c r="A70" s="5"/>
      <c r="B70" s="146"/>
      <c r="C70" s="5"/>
      <c r="D70" s="103"/>
      <c r="E70" s="103"/>
      <c r="F70" s="103"/>
      <c r="G70" s="103"/>
      <c r="H70" s="103"/>
      <c r="I70" s="103"/>
      <c r="J70" s="103"/>
      <c r="K70" s="103"/>
      <c r="L70" s="103"/>
      <c r="M70" s="103"/>
      <c r="N70" s="103"/>
      <c r="O70" s="715"/>
      <c r="P70" s="715"/>
      <c r="Q70" s="715"/>
      <c r="R70" s="715"/>
      <c r="S70" s="26"/>
      <c r="T70" s="715" t="s">
        <v>286</v>
      </c>
      <c r="U70" s="715"/>
      <c r="V70" s="715"/>
      <c r="W70" s="715"/>
      <c r="X70" s="26"/>
      <c r="Y70" s="715"/>
      <c r="Z70" s="715"/>
      <c r="AA70" s="715"/>
      <c r="AB70" s="715"/>
      <c r="AC70" s="5"/>
      <c r="AD70" s="146"/>
      <c r="AE70" s="5"/>
      <c r="AF70" s="5"/>
      <c r="AG70" s="5"/>
      <c r="AH70" s="5"/>
      <c r="AI70" s="5"/>
      <c r="AJ70" s="5"/>
      <c r="AK70" s="5"/>
      <c r="AL70" s="5"/>
      <c r="AM70" s="5"/>
      <c r="AN70" s="5"/>
      <c r="AO70" s="5"/>
      <c r="AP70" s="5"/>
      <c r="AQ70" s="5"/>
      <c r="AR70" s="5"/>
      <c r="AS70" s="5"/>
      <c r="AT70" s="5"/>
      <c r="AU70" s="5"/>
      <c r="AV70" s="5"/>
      <c r="AW70" s="5"/>
      <c r="AX70" s="5"/>
      <c r="AY70" s="40"/>
      <c r="AZ70" s="5"/>
      <c r="BA70" s="5"/>
      <c r="BB70" s="5"/>
      <c r="BC70" s="5"/>
      <c r="BD70" s="5"/>
      <c r="BE70" s="5"/>
      <c r="BF70" s="5"/>
      <c r="BG70" s="5"/>
      <c r="BH70" s="5"/>
      <c r="BI70" s="5"/>
      <c r="BJ70" s="5"/>
    </row>
    <row r="71" spans="1:62" ht="23.25" customHeight="1" x14ac:dyDescent="0.25">
      <c r="A71" s="5"/>
      <c r="B71" s="146"/>
      <c r="C71" s="5"/>
      <c r="D71" s="967" t="s">
        <v>607</v>
      </c>
      <c r="E71" s="968"/>
      <c r="F71" s="968"/>
      <c r="G71" s="968"/>
      <c r="H71" s="968"/>
      <c r="I71" s="968"/>
      <c r="J71" s="968"/>
      <c r="K71" s="968"/>
      <c r="L71" s="968"/>
      <c r="M71" s="968"/>
      <c r="N71" s="968"/>
      <c r="O71" s="28"/>
      <c r="P71" s="28"/>
      <c r="Q71" s="28"/>
      <c r="R71" s="28"/>
      <c r="S71" s="28"/>
      <c r="T71" s="969" t="str">
        <f>IF('Données - Résidentiel'!BI213=N.D.,N.D.,'Données - Résidentiel'!BI213+'Données - Résidentiel'!AE232)</f>
        <v>N.D.</v>
      </c>
      <c r="U71" s="969"/>
      <c r="V71" s="969"/>
      <c r="W71" s="969"/>
      <c r="X71" s="5"/>
      <c r="Y71" s="5"/>
      <c r="Z71" s="5"/>
      <c r="AA71" s="5"/>
      <c r="AB71" s="5"/>
      <c r="AC71" s="5"/>
      <c r="AD71" s="146"/>
      <c r="AE71" s="5"/>
      <c r="AF71" s="5"/>
      <c r="AG71" s="5"/>
      <c r="AH71" s="5"/>
      <c r="AI71" s="5"/>
      <c r="AJ71" s="5"/>
      <c r="AK71" s="5"/>
      <c r="AL71" s="5"/>
      <c r="AM71" s="5"/>
      <c r="AN71" s="5"/>
      <c r="AO71" s="5"/>
      <c r="AP71" s="5"/>
      <c r="AQ71" s="5"/>
      <c r="AR71" s="5"/>
      <c r="AS71" s="5"/>
      <c r="AT71" s="5"/>
      <c r="AU71" s="5"/>
      <c r="AV71" s="5"/>
      <c r="AW71" s="5"/>
      <c r="AX71" s="5"/>
      <c r="AY71" s="40"/>
      <c r="AZ71" s="5"/>
      <c r="BA71" s="5"/>
      <c r="BB71" s="5"/>
      <c r="BC71" s="5"/>
      <c r="BD71" s="5"/>
      <c r="BE71" s="5"/>
      <c r="BF71" s="5"/>
      <c r="BG71" s="5"/>
      <c r="BH71" s="5"/>
      <c r="BI71" s="5"/>
      <c r="BJ71" s="5"/>
    </row>
    <row r="72" spans="1:62" ht="23.25" x14ac:dyDescent="0.25">
      <c r="A72" s="5"/>
      <c r="B72" s="146"/>
      <c r="C72" s="5"/>
      <c r="D72" s="103"/>
      <c r="E72" s="103"/>
      <c r="F72" s="103"/>
      <c r="G72" s="103"/>
      <c r="H72" s="103"/>
      <c r="I72" s="103"/>
      <c r="J72" s="103"/>
      <c r="K72" s="103"/>
      <c r="L72" s="103"/>
      <c r="M72" s="103"/>
      <c r="N72" s="103"/>
      <c r="O72" s="5"/>
      <c r="P72" s="5"/>
      <c r="Q72" s="5"/>
      <c r="R72" s="5"/>
      <c r="S72" s="5"/>
      <c r="T72" s="5"/>
      <c r="U72" s="5"/>
      <c r="V72" s="5"/>
      <c r="W72" s="5"/>
      <c r="X72" s="5"/>
      <c r="Y72" s="5"/>
      <c r="Z72" s="5"/>
      <c r="AA72" s="5"/>
      <c r="AB72" s="5"/>
      <c r="AC72" s="5"/>
      <c r="AD72" s="146"/>
      <c r="AE72" s="5"/>
      <c r="AF72" s="5"/>
      <c r="AG72" s="5"/>
      <c r="AH72" s="5"/>
      <c r="AI72" s="5"/>
      <c r="AJ72" s="5"/>
      <c r="AK72" s="5"/>
      <c r="AL72" s="5"/>
      <c r="AM72" s="5"/>
      <c r="AN72" s="5"/>
      <c r="AO72" s="5"/>
      <c r="AP72" s="5"/>
      <c r="AQ72" s="5"/>
      <c r="AR72" s="5"/>
      <c r="AS72" s="5"/>
      <c r="AT72" s="5"/>
      <c r="AU72" s="5"/>
      <c r="AV72" s="5"/>
      <c r="AW72" s="5"/>
      <c r="AX72" s="5"/>
      <c r="AY72" s="40"/>
      <c r="AZ72" s="5"/>
      <c r="BA72" s="5"/>
      <c r="BB72" s="5"/>
      <c r="BC72" s="5"/>
      <c r="BD72" s="5"/>
      <c r="BE72" s="5"/>
      <c r="BF72" s="5"/>
      <c r="BG72" s="5"/>
      <c r="BH72" s="5"/>
      <c r="BI72" s="5"/>
      <c r="BJ72" s="5"/>
    </row>
    <row r="73" spans="1:62" ht="2.25" customHeight="1" x14ac:dyDescent="0.25">
      <c r="A73" s="5"/>
      <c r="B73" s="146"/>
      <c r="C73" s="5"/>
      <c r="D73" s="5"/>
      <c r="E73" s="5"/>
      <c r="F73" s="5"/>
      <c r="G73" s="5"/>
      <c r="H73" s="5"/>
      <c r="I73" s="5"/>
      <c r="J73" s="5"/>
      <c r="K73" s="5"/>
      <c r="L73" s="52"/>
      <c r="M73" s="52"/>
      <c r="N73" s="52"/>
      <c r="O73" s="52"/>
      <c r="P73" s="52"/>
      <c r="Q73" s="52"/>
      <c r="R73" s="52"/>
      <c r="S73" s="52"/>
      <c r="T73" s="52"/>
      <c r="U73" s="52"/>
      <c r="V73" s="52"/>
      <c r="W73" s="5"/>
      <c r="X73" s="5"/>
      <c r="Y73" s="5"/>
      <c r="Z73" s="5"/>
      <c r="AA73" s="5"/>
      <c r="AB73" s="5"/>
      <c r="AC73" s="5"/>
      <c r="AD73" s="146"/>
      <c r="AE73" s="5"/>
      <c r="AF73" s="5"/>
      <c r="AG73" s="5"/>
      <c r="AH73" s="5"/>
      <c r="AI73" s="5"/>
      <c r="AJ73" s="5"/>
      <c r="AK73" s="5"/>
      <c r="AL73" s="5"/>
      <c r="AM73" s="5"/>
      <c r="AN73" s="5"/>
      <c r="AO73" s="5"/>
      <c r="AP73" s="5"/>
      <c r="AQ73" s="5"/>
      <c r="AR73" s="5"/>
      <c r="AS73" s="5"/>
      <c r="AT73" s="5"/>
      <c r="AU73" s="5"/>
      <c r="AV73" s="5"/>
      <c r="AW73" s="5"/>
      <c r="AX73" s="5"/>
      <c r="AY73" s="40"/>
      <c r="AZ73" s="5"/>
      <c r="BA73" s="5"/>
      <c r="BB73" s="5"/>
      <c r="BC73" s="5"/>
      <c r="BD73" s="5"/>
      <c r="BE73" s="5"/>
      <c r="BF73" s="5"/>
      <c r="BG73" s="5"/>
      <c r="BH73" s="5"/>
      <c r="BI73" s="5"/>
      <c r="BJ73" s="5"/>
    </row>
    <row r="74" spans="1:62" ht="23.25" x14ac:dyDescent="0.25">
      <c r="A74" s="5"/>
      <c r="B74" s="146"/>
      <c r="C74" s="5"/>
      <c r="D74" s="103"/>
      <c r="E74" s="103"/>
      <c r="F74" s="103"/>
      <c r="G74" s="103"/>
      <c r="H74" s="103"/>
      <c r="I74" s="103"/>
      <c r="J74" s="103"/>
      <c r="K74" s="103"/>
      <c r="L74" s="103"/>
      <c r="M74" s="103"/>
      <c r="N74" s="103"/>
      <c r="O74" s="5"/>
      <c r="P74" s="5"/>
      <c r="Q74" s="5"/>
      <c r="R74" s="5"/>
      <c r="S74" s="5"/>
      <c r="T74" s="5"/>
      <c r="U74" s="5"/>
      <c r="V74" s="5"/>
      <c r="W74" s="5"/>
      <c r="X74" s="5"/>
      <c r="Y74" s="5"/>
      <c r="Z74" s="5"/>
      <c r="AA74" s="5"/>
      <c r="AB74" s="5"/>
      <c r="AC74" s="5"/>
      <c r="AD74" s="146"/>
      <c r="AE74" s="5"/>
      <c r="AF74" s="5"/>
      <c r="AG74" s="5"/>
      <c r="AH74" s="5"/>
      <c r="AI74" s="5"/>
      <c r="AJ74" s="5"/>
      <c r="AK74" s="5"/>
      <c r="AL74" s="5"/>
      <c r="AM74" s="5"/>
      <c r="AN74" s="5"/>
      <c r="AO74" s="5"/>
      <c r="AP74" s="5"/>
      <c r="AQ74" s="5"/>
      <c r="AR74" s="5"/>
      <c r="AS74" s="5"/>
      <c r="AT74" s="5"/>
      <c r="AU74" s="5"/>
      <c r="AV74" s="5"/>
      <c r="AW74" s="5"/>
      <c r="AX74" s="5"/>
      <c r="AY74" s="40"/>
      <c r="AZ74" s="5"/>
      <c r="BA74" s="5"/>
      <c r="BB74" s="5"/>
      <c r="BC74" s="5"/>
      <c r="BD74" s="5"/>
      <c r="BE74" s="5"/>
      <c r="BF74" s="5"/>
      <c r="BG74" s="5"/>
      <c r="BH74" s="5"/>
      <c r="BI74" s="5"/>
      <c r="BJ74" s="5"/>
    </row>
    <row r="75" spans="1:62" ht="33.75" customHeight="1" x14ac:dyDescent="0.25">
      <c r="A75" s="5"/>
      <c r="B75" s="146"/>
      <c r="C75" s="5"/>
      <c r="D75" s="986" t="s">
        <v>579</v>
      </c>
      <c r="E75" s="986"/>
      <c r="F75" s="986"/>
      <c r="G75" s="986"/>
      <c r="H75" s="986"/>
      <c r="I75" s="986"/>
      <c r="J75" s="986"/>
      <c r="K75" s="986"/>
      <c r="L75" s="986"/>
      <c r="M75" s="986"/>
      <c r="N75" s="986"/>
      <c r="O75" s="971" t="str">
        <f>IF(OR(O14&lt;&gt;"",O25&lt;&gt;"",O36&lt;&gt;"",O45&lt;&gt;"",O50&lt;&gt;"",O56&lt;&gt;""),erreur1,"")</f>
        <v>Veuillez traiter les messages d'erreur ci-dessus</v>
      </c>
      <c r="P75" s="971"/>
      <c r="Q75" s="971"/>
      <c r="R75" s="971"/>
      <c r="S75" s="971"/>
      <c r="T75" s="971"/>
      <c r="U75" s="971"/>
      <c r="V75" s="971"/>
      <c r="W75" s="971"/>
      <c r="X75" s="971"/>
      <c r="Y75" s="971"/>
      <c r="Z75" s="971"/>
      <c r="AA75" s="971"/>
      <c r="AB75" s="971"/>
      <c r="AC75" s="5"/>
      <c r="AD75" s="146"/>
      <c r="AE75" s="5"/>
      <c r="AF75" s="5"/>
      <c r="AG75" s="5"/>
      <c r="AH75" s="5"/>
      <c r="AI75" s="5"/>
      <c r="AJ75" s="5"/>
      <c r="AK75" s="5"/>
      <c r="AL75" s="5"/>
      <c r="AM75" s="5"/>
      <c r="AN75" s="5"/>
      <c r="AO75" s="5"/>
      <c r="AP75" s="5"/>
      <c r="AQ75" s="5"/>
      <c r="AR75" s="5"/>
      <c r="AS75" s="5"/>
      <c r="AT75" s="5"/>
      <c r="AU75" s="5"/>
      <c r="AV75" s="5"/>
      <c r="AW75" s="5"/>
      <c r="AX75" s="5"/>
      <c r="AY75" s="40"/>
      <c r="AZ75" s="5"/>
      <c r="BA75" s="5"/>
      <c r="BB75" s="5"/>
      <c r="BC75" s="5"/>
      <c r="BD75" s="5"/>
      <c r="BE75" s="5"/>
      <c r="BF75" s="5"/>
      <c r="BG75" s="5"/>
      <c r="BH75" s="5"/>
      <c r="BI75" s="5"/>
      <c r="BJ75" s="5"/>
    </row>
    <row r="76" spans="1:62" ht="22.5" customHeight="1" x14ac:dyDescent="0.25">
      <c r="A76" s="5"/>
      <c r="B76" s="146"/>
      <c r="C76" s="5"/>
      <c r="D76" s="5"/>
      <c r="E76" s="5"/>
      <c r="F76" s="5"/>
      <c r="G76" s="5"/>
      <c r="H76" s="5"/>
      <c r="I76" s="5"/>
      <c r="J76" s="5"/>
      <c r="K76" s="5"/>
      <c r="L76" s="5"/>
      <c r="M76" s="5"/>
      <c r="N76" s="5"/>
      <c r="O76" s="715" t="s">
        <v>285</v>
      </c>
      <c r="P76" s="715"/>
      <c r="Q76" s="715"/>
      <c r="R76" s="715"/>
      <c r="S76" s="26"/>
      <c r="T76" s="715" t="s">
        <v>286</v>
      </c>
      <c r="U76" s="715"/>
      <c r="V76" s="715"/>
      <c r="W76" s="715"/>
      <c r="X76" s="26"/>
      <c r="Y76" s="715" t="s">
        <v>287</v>
      </c>
      <c r="Z76" s="715"/>
      <c r="AA76" s="715"/>
      <c r="AB76" s="715"/>
      <c r="AC76" s="5"/>
      <c r="AD76" s="146"/>
      <c r="AE76" s="5"/>
      <c r="AF76" s="5"/>
      <c r="AG76" s="5"/>
      <c r="AH76" s="5"/>
      <c r="AI76" s="5"/>
      <c r="AJ76" s="5"/>
      <c r="AK76" s="5"/>
      <c r="AL76" s="5"/>
      <c r="AM76" s="5"/>
      <c r="AN76" s="5"/>
      <c r="AO76" s="5"/>
      <c r="AP76" s="5"/>
      <c r="AQ76" s="5"/>
      <c r="AR76" s="5"/>
      <c r="AS76" s="5"/>
      <c r="AT76" s="5"/>
      <c r="AU76" s="5"/>
      <c r="AV76" s="5"/>
      <c r="AW76" s="5"/>
      <c r="AX76" s="5"/>
      <c r="AY76" s="40"/>
      <c r="AZ76" s="5"/>
      <c r="BA76" s="5"/>
      <c r="BB76" s="5"/>
      <c r="BC76" s="5"/>
      <c r="BD76" s="5"/>
      <c r="BE76" s="5"/>
      <c r="BF76" s="5"/>
      <c r="BG76" s="5"/>
      <c r="BH76" s="5"/>
      <c r="BI76" s="5"/>
      <c r="BJ76" s="5"/>
    </row>
    <row r="77" spans="1:62" ht="23.25" x14ac:dyDescent="0.25">
      <c r="A77" s="5"/>
      <c r="B77" s="146"/>
      <c r="C77" s="5"/>
      <c r="D77" s="992" t="str">
        <f>D18</f>
        <v>Papier et carton</v>
      </c>
      <c r="E77" s="992"/>
      <c r="F77" s="992"/>
      <c r="G77" s="992"/>
      <c r="H77" s="992"/>
      <c r="I77" s="992"/>
      <c r="J77" s="992"/>
      <c r="K77" s="992"/>
      <c r="L77" s="992"/>
      <c r="M77" s="992"/>
      <c r="N77" s="992"/>
      <c r="O77" s="970" t="str">
        <f>O18</f>
        <v>N.D.</v>
      </c>
      <c r="P77" s="970"/>
      <c r="Q77" s="970"/>
      <c r="R77" s="970"/>
      <c r="S77" s="180"/>
      <c r="T77" s="970" t="str">
        <f>T18</f>
        <v>N.D.</v>
      </c>
      <c r="U77" s="970"/>
      <c r="V77" s="970"/>
      <c r="W77" s="970"/>
      <c r="X77" s="180"/>
      <c r="Y77" s="970" t="str">
        <f>Y18</f>
        <v>N.D.</v>
      </c>
      <c r="Z77" s="970"/>
      <c r="AA77" s="970"/>
      <c r="AB77" s="970"/>
      <c r="AC77" s="5"/>
      <c r="AD77" s="146"/>
      <c r="AE77" s="5"/>
      <c r="AF77" s="5"/>
      <c r="AG77" s="5"/>
      <c r="AH77" s="5"/>
      <c r="AI77" s="5"/>
      <c r="AJ77" s="5"/>
      <c r="AK77" s="5"/>
      <c r="AL77" s="5"/>
      <c r="AM77" s="5"/>
      <c r="AN77" s="5"/>
      <c r="AO77" s="5"/>
      <c r="AP77" s="5"/>
      <c r="AQ77" s="5"/>
      <c r="AR77" s="5"/>
      <c r="AS77" s="5"/>
      <c r="AT77" s="5"/>
      <c r="AU77" s="5"/>
      <c r="AV77" s="5"/>
      <c r="AW77" s="5"/>
      <c r="AX77" s="5"/>
      <c r="AY77" s="40"/>
      <c r="AZ77" s="5"/>
      <c r="BA77" s="5"/>
      <c r="BB77" s="5"/>
      <c r="BC77" s="5"/>
      <c r="BD77" s="5"/>
      <c r="BE77" s="5"/>
      <c r="BF77" s="5"/>
      <c r="BG77" s="5"/>
      <c r="BH77" s="5"/>
      <c r="BI77" s="5"/>
      <c r="BJ77" s="5"/>
    </row>
    <row r="78" spans="1:62" ht="23.25" x14ac:dyDescent="0.25">
      <c r="A78" s="5"/>
      <c r="B78" s="146"/>
      <c r="C78" s="5"/>
      <c r="D78" s="975" t="str">
        <f>D19</f>
        <v>Métal</v>
      </c>
      <c r="E78" s="975"/>
      <c r="F78" s="975"/>
      <c r="G78" s="975"/>
      <c r="H78" s="975"/>
      <c r="I78" s="975"/>
      <c r="J78" s="975"/>
      <c r="K78" s="975"/>
      <c r="L78" s="975"/>
      <c r="M78" s="975"/>
      <c r="N78" s="975"/>
      <c r="O78" s="970" t="str">
        <f>O19</f>
        <v>N.D.</v>
      </c>
      <c r="P78" s="970"/>
      <c r="Q78" s="970"/>
      <c r="R78" s="970"/>
      <c r="S78" s="180"/>
      <c r="T78" s="970" t="str">
        <f>T19</f>
        <v>N.D.</v>
      </c>
      <c r="U78" s="970"/>
      <c r="V78" s="970"/>
      <c r="W78" s="970"/>
      <c r="X78" s="180"/>
      <c r="Y78" s="970" t="str">
        <f>Y19</f>
        <v>N.D.</v>
      </c>
      <c r="Z78" s="970"/>
      <c r="AA78" s="970"/>
      <c r="AB78" s="970"/>
      <c r="AC78" s="5"/>
      <c r="AD78" s="146"/>
      <c r="AE78" s="5"/>
      <c r="AF78" s="5"/>
      <c r="AG78" s="5"/>
      <c r="AH78" s="5"/>
      <c r="AI78" s="5"/>
      <c r="AJ78" s="5"/>
      <c r="AK78" s="5"/>
      <c r="AL78" s="5"/>
      <c r="AM78" s="5"/>
      <c r="AN78" s="5"/>
      <c r="AO78" s="5"/>
      <c r="AP78" s="5"/>
      <c r="AQ78" s="5"/>
      <c r="AR78" s="5"/>
      <c r="AS78" s="5"/>
      <c r="AT78" s="5"/>
      <c r="AU78" s="5"/>
      <c r="AV78" s="5"/>
      <c r="AW78" s="5"/>
      <c r="AX78" s="5"/>
      <c r="AY78" s="40"/>
      <c r="AZ78" s="5"/>
      <c r="BA78" s="5"/>
      <c r="BB78" s="5"/>
      <c r="BC78" s="5"/>
      <c r="BD78" s="5"/>
      <c r="BE78" s="5"/>
      <c r="BF78" s="5"/>
      <c r="BG78" s="5"/>
      <c r="BH78" s="5"/>
      <c r="BI78" s="5"/>
      <c r="BJ78" s="5"/>
    </row>
    <row r="79" spans="1:62" ht="23.25" x14ac:dyDescent="0.25">
      <c r="A79" s="5"/>
      <c r="B79" s="146"/>
      <c r="C79" s="5"/>
      <c r="D79" s="975" t="str">
        <f>D20</f>
        <v>Plastique</v>
      </c>
      <c r="E79" s="975"/>
      <c r="F79" s="975"/>
      <c r="G79" s="975"/>
      <c r="H79" s="975"/>
      <c r="I79" s="975"/>
      <c r="J79" s="975"/>
      <c r="K79" s="975"/>
      <c r="L79" s="975"/>
      <c r="M79" s="975"/>
      <c r="N79" s="975"/>
      <c r="O79" s="970" t="str">
        <f>O20</f>
        <v>N.D.</v>
      </c>
      <c r="P79" s="970"/>
      <c r="Q79" s="970"/>
      <c r="R79" s="970"/>
      <c r="S79" s="180"/>
      <c r="T79" s="970" t="str">
        <f>T20</f>
        <v>N.D.</v>
      </c>
      <c r="U79" s="970"/>
      <c r="V79" s="970"/>
      <c r="W79" s="970"/>
      <c r="X79" s="180"/>
      <c r="Y79" s="970" t="str">
        <f>Y20</f>
        <v>N.D.</v>
      </c>
      <c r="Z79" s="970"/>
      <c r="AA79" s="970"/>
      <c r="AB79" s="970"/>
      <c r="AC79" s="5"/>
      <c r="AD79" s="146"/>
      <c r="AE79" s="5"/>
      <c r="AF79" s="5"/>
      <c r="AG79" s="5"/>
      <c r="AH79" s="5"/>
      <c r="AI79" s="5"/>
      <c r="AJ79" s="5"/>
      <c r="AK79" s="5"/>
      <c r="AL79" s="5"/>
      <c r="AM79" s="5"/>
      <c r="AN79" s="5"/>
      <c r="AO79" s="5"/>
      <c r="AP79" s="5"/>
      <c r="AQ79" s="5"/>
      <c r="AR79" s="5"/>
      <c r="AS79" s="5"/>
      <c r="AT79" s="5"/>
      <c r="AU79" s="5"/>
      <c r="AV79" s="5"/>
      <c r="AW79" s="5"/>
      <c r="AX79" s="5"/>
      <c r="AY79" s="40"/>
      <c r="AZ79" s="5"/>
      <c r="BA79" s="5"/>
      <c r="BB79" s="5"/>
      <c r="BC79" s="5"/>
      <c r="BD79" s="5"/>
      <c r="BE79" s="5"/>
      <c r="BF79" s="5"/>
      <c r="BG79" s="5"/>
      <c r="BH79" s="5"/>
      <c r="BI79" s="5"/>
      <c r="BJ79" s="5"/>
    </row>
    <row r="80" spans="1:62" ht="23.25" x14ac:dyDescent="0.25">
      <c r="A80" s="5"/>
      <c r="B80" s="146"/>
      <c r="C80" s="5"/>
      <c r="D80" s="975" t="str">
        <f>D21</f>
        <v>Verre</v>
      </c>
      <c r="E80" s="975"/>
      <c r="F80" s="975"/>
      <c r="G80" s="975"/>
      <c r="H80" s="975"/>
      <c r="I80" s="975"/>
      <c r="J80" s="975"/>
      <c r="K80" s="975"/>
      <c r="L80" s="975"/>
      <c r="M80" s="975"/>
      <c r="N80" s="975"/>
      <c r="O80" s="970" t="str">
        <f>O21</f>
        <v>N.D.</v>
      </c>
      <c r="P80" s="970"/>
      <c r="Q80" s="970"/>
      <c r="R80" s="970"/>
      <c r="S80" s="180"/>
      <c r="T80" s="970" t="str">
        <f>T21</f>
        <v>N.D.</v>
      </c>
      <c r="U80" s="970"/>
      <c r="V80" s="970"/>
      <c r="W80" s="970"/>
      <c r="X80" s="180"/>
      <c r="Y80" s="970" t="str">
        <f>Y21</f>
        <v>N.D.</v>
      </c>
      <c r="Z80" s="970"/>
      <c r="AA80" s="970"/>
      <c r="AB80" s="970"/>
      <c r="AC80" s="5"/>
      <c r="AD80" s="146"/>
      <c r="AE80" s="5"/>
      <c r="AF80" s="5"/>
      <c r="AG80" s="5"/>
      <c r="AH80" s="5"/>
      <c r="AI80" s="5"/>
      <c r="AJ80" s="5"/>
      <c r="AK80" s="5"/>
      <c r="AL80" s="5"/>
      <c r="AM80" s="5"/>
      <c r="AN80" s="5"/>
      <c r="AO80" s="5"/>
      <c r="AP80" s="5"/>
      <c r="AQ80" s="5"/>
      <c r="AR80" s="5"/>
      <c r="AS80" s="5"/>
      <c r="AT80" s="5"/>
      <c r="AU80" s="5"/>
      <c r="AV80" s="5"/>
      <c r="AW80" s="5"/>
      <c r="AX80" s="5"/>
      <c r="AY80" s="40"/>
      <c r="AZ80" s="5"/>
      <c r="BA80" s="5"/>
      <c r="BB80" s="5"/>
      <c r="BC80" s="5"/>
      <c r="BD80" s="5"/>
      <c r="BE80" s="5"/>
      <c r="BF80" s="5"/>
      <c r="BG80" s="5"/>
      <c r="BH80" s="5"/>
      <c r="BI80" s="5"/>
      <c r="BJ80" s="5"/>
    </row>
    <row r="81" spans="1:62" ht="23.25" x14ac:dyDescent="0.25">
      <c r="A81" s="5"/>
      <c r="B81" s="146"/>
      <c r="C81" s="5"/>
      <c r="D81" s="968" t="str">
        <f>D28</f>
        <v>Branches et sapins de Noël</v>
      </c>
      <c r="E81" s="968"/>
      <c r="F81" s="968"/>
      <c r="G81" s="968"/>
      <c r="H81" s="968"/>
      <c r="I81" s="968"/>
      <c r="J81" s="968"/>
      <c r="K81" s="968"/>
      <c r="L81" s="968"/>
      <c r="M81" s="968"/>
      <c r="N81" s="968"/>
      <c r="O81" s="970" t="str">
        <f>O28</f>
        <v/>
      </c>
      <c r="P81" s="970"/>
      <c r="Q81" s="970"/>
      <c r="R81" s="970"/>
      <c r="S81" s="181"/>
      <c r="T81" s="970" t="str">
        <f>T28</f>
        <v/>
      </c>
      <c r="U81" s="970"/>
      <c r="V81" s="970"/>
      <c r="W81" s="970"/>
      <c r="X81" s="181"/>
      <c r="Y81" s="970" t="str">
        <f>Y28</f>
        <v/>
      </c>
      <c r="Z81" s="970"/>
      <c r="AA81" s="970"/>
      <c r="AB81" s="970"/>
      <c r="AC81" s="5"/>
      <c r="AD81" s="146"/>
      <c r="AE81" s="5"/>
      <c r="AF81" s="5"/>
      <c r="AG81" s="5"/>
      <c r="AH81" s="5"/>
      <c r="AI81" s="5"/>
      <c r="AJ81" s="5"/>
      <c r="AK81" s="5"/>
      <c r="AL81" s="5"/>
      <c r="AM81" s="5"/>
      <c r="AN81" s="5"/>
      <c r="AO81" s="5"/>
      <c r="AP81" s="5"/>
      <c r="AQ81" s="5"/>
      <c r="AR81" s="5"/>
      <c r="AS81" s="5"/>
      <c r="AT81" s="5"/>
      <c r="AU81" s="5"/>
      <c r="AV81" s="5"/>
      <c r="AW81" s="5"/>
      <c r="AX81" s="5"/>
      <c r="AY81" s="40"/>
      <c r="AZ81" s="5"/>
      <c r="BA81" s="5"/>
      <c r="BB81" s="5"/>
      <c r="BC81" s="5"/>
      <c r="BD81" s="5"/>
      <c r="BE81" s="5"/>
      <c r="BF81" s="5"/>
      <c r="BG81" s="5"/>
      <c r="BH81" s="5"/>
      <c r="BI81" s="5"/>
      <c r="BJ81" s="5"/>
    </row>
    <row r="82" spans="1:62" ht="23.25" x14ac:dyDescent="0.25">
      <c r="A82" s="5"/>
      <c r="B82" s="146"/>
      <c r="C82" s="5"/>
      <c r="D82" s="968" t="str">
        <f>D29</f>
        <v>Résidus verts</v>
      </c>
      <c r="E82" s="968"/>
      <c r="F82" s="968"/>
      <c r="G82" s="968"/>
      <c r="H82" s="968"/>
      <c r="I82" s="968"/>
      <c r="J82" s="968"/>
      <c r="K82" s="968"/>
      <c r="L82" s="968"/>
      <c r="M82" s="968"/>
      <c r="N82" s="968"/>
      <c r="O82" s="970" t="str">
        <f>O29</f>
        <v/>
      </c>
      <c r="P82" s="970"/>
      <c r="Q82" s="970"/>
      <c r="R82" s="970"/>
      <c r="S82" s="181"/>
      <c r="T82" s="970" t="str">
        <f>T29</f>
        <v/>
      </c>
      <c r="U82" s="970"/>
      <c r="V82" s="970"/>
      <c r="W82" s="970"/>
      <c r="X82" s="181"/>
      <c r="Y82" s="970" t="str">
        <f>Y29</f>
        <v/>
      </c>
      <c r="Z82" s="970"/>
      <c r="AA82" s="970"/>
      <c r="AB82" s="970"/>
      <c r="AC82" s="5"/>
      <c r="AD82" s="146"/>
      <c r="AE82" s="5"/>
      <c r="AF82" s="5"/>
      <c r="AG82" s="5"/>
      <c r="AH82" s="5"/>
      <c r="AI82" s="5"/>
      <c r="AJ82" s="5"/>
      <c r="AK82" s="5"/>
      <c r="AL82" s="5"/>
      <c r="AM82" s="5"/>
      <c r="AN82" s="5"/>
      <c r="AO82" s="5"/>
      <c r="AP82" s="5"/>
      <c r="AQ82" s="5"/>
      <c r="AR82" s="5"/>
      <c r="AS82" s="5"/>
      <c r="AT82" s="5"/>
      <c r="AU82" s="5"/>
      <c r="AV82" s="5"/>
      <c r="AW82" s="5"/>
      <c r="AX82" s="5"/>
      <c r="AY82" s="40"/>
      <c r="AZ82" s="5"/>
      <c r="BA82" s="5"/>
      <c r="BB82" s="5"/>
      <c r="BC82" s="5"/>
      <c r="BD82" s="5"/>
      <c r="BE82" s="5"/>
      <c r="BF82" s="5"/>
      <c r="BG82" s="5"/>
      <c r="BH82" s="5"/>
      <c r="BI82" s="5"/>
      <c r="BJ82" s="5"/>
    </row>
    <row r="83" spans="1:62" ht="23.25" x14ac:dyDescent="0.25">
      <c r="A83" s="5"/>
      <c r="B83" s="146"/>
      <c r="C83" s="5"/>
      <c r="D83" s="968" t="str">
        <f>D30</f>
        <v>Résidus alimentaires</v>
      </c>
      <c r="E83" s="968"/>
      <c r="F83" s="968"/>
      <c r="G83" s="968"/>
      <c r="H83" s="968"/>
      <c r="I83" s="968"/>
      <c r="J83" s="968"/>
      <c r="K83" s="968"/>
      <c r="L83" s="968"/>
      <c r="M83" s="968"/>
      <c r="N83" s="968"/>
      <c r="O83" s="970" t="str">
        <f>O30</f>
        <v/>
      </c>
      <c r="P83" s="970"/>
      <c r="Q83" s="970"/>
      <c r="R83" s="970"/>
      <c r="S83" s="181"/>
      <c r="T83" s="970" t="str">
        <f>T30</f>
        <v/>
      </c>
      <c r="U83" s="970"/>
      <c r="V83" s="970"/>
      <c r="W83" s="970"/>
      <c r="X83" s="180"/>
      <c r="Y83" s="970" t="str">
        <f>Y30</f>
        <v/>
      </c>
      <c r="Z83" s="970"/>
      <c r="AA83" s="970"/>
      <c r="AB83" s="970"/>
      <c r="AC83" s="5"/>
      <c r="AD83" s="146"/>
      <c r="AE83" s="5"/>
      <c r="AF83" s="5"/>
      <c r="AG83" s="5"/>
      <c r="AH83" s="5"/>
      <c r="AI83" s="5"/>
      <c r="AJ83" s="5"/>
      <c r="AK83" s="5"/>
      <c r="AL83" s="5"/>
      <c r="AM83" s="5"/>
      <c r="AN83" s="5"/>
      <c r="AO83" s="5"/>
      <c r="AP83" s="5"/>
      <c r="AQ83" s="5"/>
      <c r="AR83" s="5"/>
      <c r="AS83" s="5"/>
      <c r="AT83" s="5"/>
      <c r="AU83" s="5"/>
      <c r="AV83" s="5"/>
      <c r="AW83" s="5"/>
      <c r="AX83" s="5"/>
      <c r="AY83" s="40"/>
      <c r="AZ83" s="5"/>
      <c r="BA83" s="5"/>
      <c r="BB83" s="5"/>
      <c r="BC83" s="5"/>
      <c r="BD83" s="5"/>
      <c r="BE83" s="5"/>
      <c r="BF83" s="5"/>
      <c r="BG83" s="5"/>
      <c r="BH83" s="5"/>
      <c r="BI83" s="5"/>
      <c r="BJ83" s="5"/>
    </row>
    <row r="84" spans="1:62" ht="23.25" x14ac:dyDescent="0.25">
      <c r="A84" s="5"/>
      <c r="B84" s="146"/>
      <c r="C84" s="5"/>
      <c r="D84" s="968" t="str">
        <f>D31</f>
        <v>Autres résidus organiques</v>
      </c>
      <c r="E84" s="968"/>
      <c r="F84" s="968"/>
      <c r="G84" s="968"/>
      <c r="H84" s="968"/>
      <c r="I84" s="968"/>
      <c r="J84" s="968"/>
      <c r="K84" s="968"/>
      <c r="L84" s="968"/>
      <c r="M84" s="968"/>
      <c r="N84" s="968"/>
      <c r="O84" s="970" t="str">
        <f>O31</f>
        <v/>
      </c>
      <c r="P84" s="970"/>
      <c r="Q84" s="970"/>
      <c r="R84" s="970"/>
      <c r="S84" s="182"/>
      <c r="T84" s="970" t="str">
        <f>T31</f>
        <v/>
      </c>
      <c r="U84" s="970"/>
      <c r="V84" s="970"/>
      <c r="W84" s="970"/>
      <c r="X84" s="182"/>
      <c r="Y84" s="970" t="str">
        <f>Y31</f>
        <v/>
      </c>
      <c r="Z84" s="970"/>
      <c r="AA84" s="970"/>
      <c r="AB84" s="970"/>
      <c r="AC84" s="5"/>
      <c r="AD84" s="146"/>
      <c r="AE84" s="5"/>
      <c r="AF84" s="5"/>
      <c r="AG84" s="5"/>
      <c r="AH84" s="5"/>
      <c r="AI84" s="5"/>
      <c r="AJ84" s="5"/>
      <c r="AK84" s="5"/>
      <c r="AL84" s="5"/>
      <c r="AM84" s="5"/>
      <c r="AN84" s="5"/>
      <c r="AO84" s="5"/>
      <c r="AP84" s="5"/>
      <c r="AQ84" s="5"/>
      <c r="AR84" s="5"/>
      <c r="AS84" s="5"/>
      <c r="AT84" s="5"/>
      <c r="AU84" s="5"/>
      <c r="AV84" s="5"/>
      <c r="AW84" s="5"/>
      <c r="AX84" s="5"/>
      <c r="AY84" s="40"/>
      <c r="AZ84" s="5"/>
      <c r="BA84" s="5"/>
      <c r="BB84" s="5"/>
      <c r="BC84" s="5"/>
      <c r="BD84" s="5"/>
      <c r="BE84" s="5"/>
      <c r="BF84" s="5"/>
      <c r="BG84" s="5"/>
      <c r="BH84" s="5"/>
      <c r="BI84" s="5"/>
      <c r="BJ84" s="5"/>
    </row>
    <row r="85" spans="1:62" ht="23.25" x14ac:dyDescent="0.25">
      <c r="A85" s="5"/>
      <c r="B85" s="146"/>
      <c r="C85" s="5"/>
      <c r="D85" s="973" t="str">
        <f>D48</f>
        <v>Véhicules hors d'usage</v>
      </c>
      <c r="E85" s="973"/>
      <c r="F85" s="973"/>
      <c r="G85" s="973"/>
      <c r="H85" s="973"/>
      <c r="I85" s="973"/>
      <c r="J85" s="973"/>
      <c r="K85" s="973"/>
      <c r="L85" s="973"/>
      <c r="M85" s="973"/>
      <c r="N85" s="973"/>
      <c r="O85" s="977" t="str">
        <f>O48</f>
        <v>N.D.</v>
      </c>
      <c r="P85" s="977"/>
      <c r="Q85" s="977"/>
      <c r="R85" s="977"/>
      <c r="S85" s="66"/>
      <c r="T85" s="977" t="str">
        <f>T48</f>
        <v>N.D.</v>
      </c>
      <c r="U85" s="977"/>
      <c r="V85" s="977"/>
      <c r="W85" s="977"/>
      <c r="X85" s="66"/>
      <c r="Y85" s="977">
        <f>Y48</f>
        <v>0</v>
      </c>
      <c r="Z85" s="977"/>
      <c r="AA85" s="977"/>
      <c r="AB85" s="977"/>
      <c r="AC85" s="5"/>
      <c r="AD85" s="146"/>
      <c r="AE85" s="5"/>
      <c r="AF85" s="5"/>
      <c r="AG85" s="5"/>
      <c r="AH85" s="5"/>
      <c r="AI85" s="5"/>
      <c r="AJ85" s="5"/>
      <c r="AK85" s="5"/>
      <c r="AL85" s="5"/>
      <c r="AM85" s="5"/>
      <c r="AN85" s="5"/>
      <c r="AO85" s="5"/>
      <c r="AP85" s="5"/>
      <c r="AQ85" s="5"/>
      <c r="AR85" s="5"/>
      <c r="AS85" s="5"/>
      <c r="AT85" s="5"/>
      <c r="AU85" s="5"/>
      <c r="AV85" s="5"/>
      <c r="AW85" s="5"/>
      <c r="AX85" s="5"/>
      <c r="AY85" s="40"/>
      <c r="AZ85" s="5"/>
      <c r="BA85" s="5"/>
      <c r="BB85" s="5"/>
      <c r="BC85" s="5"/>
      <c r="BD85" s="5"/>
      <c r="BE85" s="5"/>
      <c r="BF85" s="5"/>
      <c r="BG85" s="5"/>
      <c r="BH85" s="5"/>
      <c r="BI85" s="5"/>
      <c r="BJ85" s="5"/>
    </row>
    <row r="86" spans="1:62" ht="23.25" x14ac:dyDescent="0.25">
      <c r="A86" s="5"/>
      <c r="B86" s="146"/>
      <c r="C86" s="5"/>
      <c r="D86" s="968" t="str">
        <f>D53</f>
        <v>Textiles</v>
      </c>
      <c r="E86" s="968"/>
      <c r="F86" s="968"/>
      <c r="G86" s="968"/>
      <c r="H86" s="968"/>
      <c r="I86" s="968"/>
      <c r="J86" s="968"/>
      <c r="K86" s="968"/>
      <c r="L86" s="968"/>
      <c r="M86" s="968"/>
      <c r="N86" s="968"/>
      <c r="O86" s="969" t="str">
        <f>O53</f>
        <v>N.D.</v>
      </c>
      <c r="P86" s="969"/>
      <c r="Q86" s="969"/>
      <c r="R86" s="969"/>
      <c r="S86" s="65"/>
      <c r="T86" s="969" t="str">
        <f>T53</f>
        <v>N.D.</v>
      </c>
      <c r="U86" s="969"/>
      <c r="V86" s="969"/>
      <c r="W86" s="969"/>
      <c r="X86" s="65"/>
      <c r="Y86" s="969">
        <f>Y53</f>
        <v>0</v>
      </c>
      <c r="Z86" s="969"/>
      <c r="AA86" s="969"/>
      <c r="AB86" s="969"/>
      <c r="AC86" s="5"/>
      <c r="AD86" s="146"/>
      <c r="AE86" s="5"/>
      <c r="AF86" s="5"/>
      <c r="AG86" s="5"/>
      <c r="AH86" s="5"/>
      <c r="AI86" s="5"/>
      <c r="AJ86" s="5"/>
      <c r="AK86" s="5"/>
      <c r="AL86" s="5"/>
      <c r="AM86" s="5"/>
      <c r="AN86" s="5"/>
      <c r="AO86" s="5"/>
      <c r="AP86" s="5"/>
      <c r="AQ86" s="5"/>
      <c r="AR86" s="5"/>
      <c r="AS86" s="5"/>
      <c r="AT86" s="5"/>
      <c r="AU86" s="5"/>
      <c r="AV86" s="5"/>
      <c r="AW86" s="5"/>
      <c r="AX86" s="5"/>
      <c r="AY86" s="40"/>
      <c r="AZ86" s="5"/>
      <c r="BA86" s="5"/>
      <c r="BB86" s="5"/>
      <c r="BC86" s="5"/>
      <c r="BD86" s="5"/>
      <c r="BE86" s="5"/>
      <c r="BF86" s="5"/>
      <c r="BG86" s="5"/>
      <c r="BH86" s="5"/>
      <c r="BI86" s="5"/>
      <c r="BJ86" s="5"/>
    </row>
    <row r="87" spans="1:62" ht="23.25" x14ac:dyDescent="0.25">
      <c r="A87" s="5"/>
      <c r="B87" s="146"/>
      <c r="C87" s="5"/>
      <c r="D87" s="701" t="s">
        <v>677</v>
      </c>
      <c r="E87" s="701"/>
      <c r="F87" s="701"/>
      <c r="G87" s="701"/>
      <c r="H87" s="701"/>
      <c r="I87" s="701"/>
      <c r="J87" s="701"/>
      <c r="K87" s="701"/>
      <c r="L87" s="701"/>
      <c r="M87" s="701"/>
      <c r="N87" s="701"/>
      <c r="O87" s="969">
        <f>O60</f>
        <v>0</v>
      </c>
      <c r="P87" s="969"/>
      <c r="Q87" s="969"/>
      <c r="R87" s="969"/>
      <c r="S87" s="65"/>
      <c r="T87" s="969" t="str">
        <f>T60</f>
        <v>N.D.</v>
      </c>
      <c r="U87" s="969"/>
      <c r="V87" s="969"/>
      <c r="W87" s="969"/>
      <c r="X87" s="65"/>
      <c r="Y87" s="969" t="str">
        <f>Y60</f>
        <v>N.D.</v>
      </c>
      <c r="Z87" s="969"/>
      <c r="AA87" s="969"/>
      <c r="AB87" s="969"/>
      <c r="AC87" s="5"/>
      <c r="AD87" s="146"/>
      <c r="AE87" s="5"/>
      <c r="AF87" s="5"/>
      <c r="AG87" s="5"/>
      <c r="AH87" s="5"/>
      <c r="AI87" s="5"/>
      <c r="AJ87" s="5"/>
      <c r="AK87" s="5"/>
      <c r="AL87" s="5"/>
      <c r="AM87" s="5"/>
      <c r="AN87" s="5"/>
      <c r="AO87" s="5"/>
      <c r="AP87" s="5"/>
      <c r="AQ87" s="5"/>
      <c r="AR87" s="5"/>
      <c r="AS87" s="5"/>
      <c r="AT87" s="5"/>
      <c r="AU87" s="5"/>
      <c r="AV87" s="5"/>
      <c r="AW87" s="5"/>
      <c r="AX87" s="5"/>
      <c r="AY87" s="40"/>
      <c r="AZ87" s="5"/>
      <c r="BA87" s="5"/>
      <c r="BB87" s="5"/>
      <c r="BC87" s="5"/>
      <c r="BD87" s="5"/>
      <c r="BE87" s="5"/>
      <c r="BF87" s="5"/>
      <c r="BG87" s="5"/>
      <c r="BH87" s="5"/>
      <c r="BI87" s="5"/>
      <c r="BJ87" s="5"/>
    </row>
    <row r="88" spans="1:62" ht="23.25" x14ac:dyDescent="0.25">
      <c r="A88" s="5"/>
      <c r="B88" s="146"/>
      <c r="C88" s="5"/>
      <c r="D88" s="490" t="s">
        <v>676</v>
      </c>
      <c r="E88" s="490"/>
      <c r="F88" s="490"/>
      <c r="G88" s="490"/>
      <c r="H88" s="490"/>
      <c r="I88" s="490"/>
      <c r="J88" s="490"/>
      <c r="K88" s="490"/>
      <c r="L88" s="490"/>
      <c r="M88" s="490"/>
      <c r="N88" s="490"/>
      <c r="O88" s="969">
        <f>O61</f>
        <v>0</v>
      </c>
      <c r="P88" s="969"/>
      <c r="Q88" s="969"/>
      <c r="R88" s="969"/>
      <c r="S88" s="65"/>
      <c r="T88" s="969" t="str">
        <f>T61</f>
        <v>N.D.</v>
      </c>
      <c r="U88" s="969"/>
      <c r="V88" s="969"/>
      <c r="W88" s="969"/>
      <c r="X88" s="65"/>
      <c r="Y88" s="969" t="str">
        <f>Y61</f>
        <v>N.D.</v>
      </c>
      <c r="Z88" s="969"/>
      <c r="AA88" s="969"/>
      <c r="AB88" s="969"/>
      <c r="AC88" s="5"/>
      <c r="AD88" s="146"/>
      <c r="AE88" s="5"/>
      <c r="AF88" s="5"/>
      <c r="AG88" s="5"/>
      <c r="AH88" s="5"/>
      <c r="AI88" s="5"/>
      <c r="AJ88" s="5"/>
      <c r="AK88" s="5"/>
      <c r="AL88" s="5"/>
      <c r="AM88" s="5"/>
      <c r="AN88" s="5"/>
      <c r="AO88" s="5"/>
      <c r="AP88" s="5"/>
      <c r="AQ88" s="5"/>
      <c r="AR88" s="5"/>
      <c r="AS88" s="5"/>
      <c r="AT88" s="5"/>
      <c r="AU88" s="5"/>
      <c r="AV88" s="5"/>
      <c r="AW88" s="5"/>
      <c r="AX88" s="5"/>
      <c r="AY88" s="40"/>
      <c r="AZ88" s="5"/>
      <c r="BA88" s="5"/>
      <c r="BB88" s="5"/>
      <c r="BC88" s="5"/>
      <c r="BD88" s="5"/>
      <c r="BE88" s="5"/>
      <c r="BF88" s="5"/>
      <c r="BG88" s="5"/>
      <c r="BH88" s="5"/>
      <c r="BI88" s="5"/>
      <c r="BJ88" s="5"/>
    </row>
    <row r="89" spans="1:62" ht="23.25" x14ac:dyDescent="0.25">
      <c r="A89" s="5"/>
      <c r="B89" s="146"/>
      <c r="C89" s="5"/>
      <c r="D89" s="701" t="s">
        <v>578</v>
      </c>
      <c r="E89" s="701"/>
      <c r="F89" s="701"/>
      <c r="G89" s="701"/>
      <c r="H89" s="701"/>
      <c r="I89" s="701"/>
      <c r="J89" s="701"/>
      <c r="K89" s="701"/>
      <c r="L89" s="701"/>
      <c r="M89" s="701"/>
      <c r="N89" s="701"/>
      <c r="O89" s="969" t="str">
        <f>O62</f>
        <v>N.D.</v>
      </c>
      <c r="P89" s="969"/>
      <c r="Q89" s="969"/>
      <c r="R89" s="969"/>
      <c r="S89" s="65"/>
      <c r="T89" s="969" t="str">
        <f>T62</f>
        <v>N.D.</v>
      </c>
      <c r="U89" s="969"/>
      <c r="V89" s="969"/>
      <c r="W89" s="969"/>
      <c r="X89" s="65"/>
      <c r="Y89" s="969">
        <f>Y62</f>
        <v>0</v>
      </c>
      <c r="Z89" s="969"/>
      <c r="AA89" s="969"/>
      <c r="AB89" s="969"/>
      <c r="AC89" s="5"/>
      <c r="AD89" s="146"/>
      <c r="AE89" s="5"/>
      <c r="AF89" s="5"/>
      <c r="AG89" s="5"/>
      <c r="AH89" s="5"/>
      <c r="AI89" s="5"/>
      <c r="AJ89" s="5"/>
      <c r="AK89" s="5"/>
      <c r="AL89" s="5"/>
      <c r="AM89" s="5"/>
      <c r="AN89" s="5"/>
      <c r="AO89" s="5"/>
      <c r="AP89" s="5"/>
      <c r="AQ89" s="5"/>
      <c r="AR89" s="5"/>
      <c r="AS89" s="5"/>
      <c r="AT89" s="5"/>
      <c r="AU89" s="5"/>
      <c r="AV89" s="5"/>
      <c r="AW89" s="5"/>
      <c r="AX89" s="5"/>
      <c r="AY89" s="40"/>
      <c r="AZ89" s="5"/>
      <c r="BA89" s="5"/>
      <c r="BB89" s="5"/>
      <c r="BC89" s="5"/>
      <c r="BD89" s="5"/>
      <c r="BE89" s="5"/>
      <c r="BF89" s="5"/>
      <c r="BG89" s="5"/>
      <c r="BH89" s="5"/>
      <c r="BI89" s="5"/>
      <c r="BJ89" s="5"/>
    </row>
    <row r="90" spans="1:62" ht="23.25" customHeight="1" x14ac:dyDescent="0.25">
      <c r="A90" s="5"/>
      <c r="B90" s="146"/>
      <c r="C90" s="5"/>
      <c r="D90" s="981" t="s">
        <v>529</v>
      </c>
      <c r="E90" s="981"/>
      <c r="F90" s="981"/>
      <c r="G90" s="981"/>
      <c r="H90" s="981"/>
      <c r="I90" s="981"/>
      <c r="J90" s="981"/>
      <c r="K90" s="981"/>
      <c r="L90" s="981"/>
      <c r="M90" s="981"/>
      <c r="N90" s="981"/>
      <c r="O90" s="969" t="str">
        <f>O64</f>
        <v>N.D.</v>
      </c>
      <c r="P90" s="969"/>
      <c r="Q90" s="969"/>
      <c r="R90" s="969"/>
      <c r="S90" s="65"/>
      <c r="T90" s="969" t="str">
        <f>T64</f>
        <v>N.D.</v>
      </c>
      <c r="U90" s="969"/>
      <c r="V90" s="969"/>
      <c r="W90" s="969"/>
      <c r="X90" s="65"/>
      <c r="Y90" s="969">
        <f>Y64</f>
        <v>0</v>
      </c>
      <c r="Z90" s="969"/>
      <c r="AA90" s="969"/>
      <c r="AB90" s="969"/>
      <c r="AC90" s="5"/>
      <c r="AD90" s="146"/>
      <c r="AE90" s="5"/>
      <c r="AF90" s="5"/>
      <c r="AG90" s="5"/>
      <c r="AH90" s="5"/>
      <c r="AI90" s="5"/>
      <c r="AJ90" s="5"/>
      <c r="AK90" s="5"/>
      <c r="AL90" s="5"/>
      <c r="AM90" s="5"/>
      <c r="AN90" s="5"/>
      <c r="AO90" s="5"/>
      <c r="AP90" s="5"/>
      <c r="AQ90" s="5"/>
      <c r="AR90" s="5"/>
      <c r="AS90" s="5"/>
      <c r="AT90" s="5"/>
      <c r="AU90" s="5"/>
      <c r="AV90" s="5"/>
      <c r="AW90" s="5"/>
      <c r="AX90" s="5"/>
      <c r="AY90" s="40"/>
      <c r="AZ90" s="5"/>
      <c r="BA90" s="5"/>
      <c r="BB90" s="5"/>
      <c r="BC90" s="5"/>
      <c r="BD90" s="5"/>
      <c r="BE90" s="5"/>
      <c r="BF90" s="5"/>
      <c r="BG90" s="5"/>
      <c r="BH90" s="5"/>
      <c r="BI90" s="5"/>
      <c r="BJ90" s="5"/>
    </row>
    <row r="91" spans="1:62" ht="23.25" customHeight="1" x14ac:dyDescent="0.25">
      <c r="A91" s="5"/>
      <c r="B91" s="146"/>
      <c r="C91" s="5"/>
      <c r="D91" s="980" t="s">
        <v>678</v>
      </c>
      <c r="E91" s="980"/>
      <c r="F91" s="980"/>
      <c r="G91" s="980"/>
      <c r="H91" s="980"/>
      <c r="I91" s="980"/>
      <c r="J91" s="980"/>
      <c r="K91" s="980"/>
      <c r="L91" s="980"/>
      <c r="M91" s="980"/>
      <c r="N91" s="980"/>
      <c r="O91" s="969" t="str">
        <f>O65</f>
        <v>N.D.</v>
      </c>
      <c r="P91" s="969"/>
      <c r="Q91" s="969"/>
      <c r="R91" s="969"/>
      <c r="S91" s="65"/>
      <c r="T91" s="969" t="str">
        <f>T65</f>
        <v>N.D.</v>
      </c>
      <c r="U91" s="969"/>
      <c r="V91" s="969"/>
      <c r="W91" s="969"/>
      <c r="X91" s="65"/>
      <c r="Y91" s="969">
        <f>Y65</f>
        <v>0</v>
      </c>
      <c r="Z91" s="969"/>
      <c r="AA91" s="969"/>
      <c r="AB91" s="969"/>
      <c r="AC91" s="5"/>
      <c r="AD91" s="146"/>
      <c r="AE91" s="5"/>
      <c r="AF91" s="5"/>
      <c r="AG91" s="5"/>
      <c r="AH91" s="5"/>
      <c r="AI91" s="5"/>
      <c r="AJ91" s="5"/>
      <c r="AK91" s="5"/>
      <c r="AL91" s="5"/>
      <c r="AM91" s="5"/>
      <c r="AN91" s="5"/>
      <c r="AO91" s="5"/>
      <c r="AP91" s="5"/>
      <c r="AQ91" s="5"/>
      <c r="AR91" s="5"/>
      <c r="AS91" s="5"/>
      <c r="AT91" s="5"/>
      <c r="AU91" s="5"/>
      <c r="AV91" s="5"/>
      <c r="AW91" s="5"/>
      <c r="AX91" s="5"/>
      <c r="AY91" s="40"/>
      <c r="AZ91" s="5"/>
      <c r="BA91" s="5"/>
      <c r="BB91" s="5"/>
      <c r="BC91" s="5"/>
      <c r="BD91" s="5"/>
      <c r="BE91" s="5"/>
      <c r="BF91" s="5"/>
      <c r="BG91" s="5"/>
      <c r="BH91" s="5"/>
      <c r="BI91" s="5"/>
      <c r="BJ91" s="5"/>
    </row>
    <row r="92" spans="1:62" ht="23.25" customHeight="1" x14ac:dyDescent="0.25">
      <c r="A92" s="5"/>
      <c r="B92" s="146"/>
      <c r="C92" s="5"/>
      <c r="D92" s="967" t="str">
        <f>D71</f>
        <v>Résidus ultimes</v>
      </c>
      <c r="E92" s="968"/>
      <c r="F92" s="968"/>
      <c r="G92" s="968"/>
      <c r="H92" s="968"/>
      <c r="I92" s="968"/>
      <c r="J92" s="968"/>
      <c r="K92" s="968"/>
      <c r="L92" s="968"/>
      <c r="M92" s="968"/>
      <c r="N92" s="968"/>
      <c r="O92" s="969">
        <v>0</v>
      </c>
      <c r="P92" s="969"/>
      <c r="Q92" s="969"/>
      <c r="R92" s="969"/>
      <c r="S92" s="28"/>
      <c r="T92" s="969" t="str">
        <f>T71</f>
        <v>N.D.</v>
      </c>
      <c r="U92" s="969"/>
      <c r="V92" s="969"/>
      <c r="W92" s="969"/>
      <c r="X92" s="66"/>
      <c r="Y92" s="969" t="str">
        <f>T92</f>
        <v>N.D.</v>
      </c>
      <c r="Z92" s="969"/>
      <c r="AA92" s="969"/>
      <c r="AB92" s="969"/>
      <c r="AC92" s="5"/>
      <c r="AD92" s="146"/>
      <c r="AE92" s="5"/>
      <c r="AF92" s="5"/>
      <c r="AG92" s="5"/>
      <c r="AH92" s="5"/>
      <c r="AI92" s="5"/>
      <c r="AJ92" s="5"/>
      <c r="AK92" s="5"/>
      <c r="AL92" s="5"/>
      <c r="AM92" s="5"/>
      <c r="AN92" s="5"/>
      <c r="AO92" s="5"/>
      <c r="AP92" s="5"/>
      <c r="AQ92" s="5"/>
      <c r="AR92" s="5"/>
      <c r="AS92" s="5"/>
      <c r="AT92" s="5"/>
      <c r="AU92" s="5"/>
      <c r="AV92" s="5"/>
      <c r="AW92" s="5"/>
      <c r="AX92" s="5"/>
      <c r="AY92" s="40"/>
      <c r="AZ92" s="5"/>
      <c r="BA92" s="5"/>
      <c r="BB92" s="5"/>
      <c r="BC92" s="5"/>
      <c r="BD92" s="5"/>
      <c r="BE92" s="5"/>
      <c r="BF92" s="5"/>
      <c r="BG92" s="5"/>
      <c r="BH92" s="5"/>
      <c r="BI92" s="5"/>
      <c r="BJ92" s="5"/>
    </row>
    <row r="93" spans="1:62" ht="6" customHeight="1" x14ac:dyDescent="0.25">
      <c r="A93" s="5"/>
      <c r="B93" s="146"/>
      <c r="C93" s="5"/>
      <c r="D93" s="103"/>
      <c r="E93" s="103"/>
      <c r="F93" s="103"/>
      <c r="G93" s="103"/>
      <c r="H93" s="103"/>
      <c r="I93" s="103"/>
      <c r="J93" s="103"/>
      <c r="K93" s="103"/>
      <c r="L93" s="103"/>
      <c r="M93" s="103"/>
      <c r="N93" s="103"/>
      <c r="O93" s="5"/>
      <c r="P93" s="5"/>
      <c r="Q93" s="5"/>
      <c r="R93" s="5"/>
      <c r="S93" s="5"/>
      <c r="T93" s="5"/>
      <c r="U93" s="5"/>
      <c r="V93" s="5"/>
      <c r="W93" s="5"/>
      <c r="X93" s="5"/>
      <c r="Y93" s="5"/>
      <c r="Z93" s="5"/>
      <c r="AA93" s="5"/>
      <c r="AB93" s="5"/>
      <c r="AC93" s="5"/>
      <c r="AD93" s="146"/>
      <c r="AE93" s="5"/>
      <c r="AF93" s="5"/>
      <c r="AG93" s="5"/>
      <c r="AH93" s="5"/>
      <c r="AI93" s="5"/>
      <c r="AJ93" s="5"/>
      <c r="AK93" s="5"/>
      <c r="AL93" s="5"/>
      <c r="AM93" s="5"/>
      <c r="AN93" s="5"/>
      <c r="AO93" s="5"/>
      <c r="AP93" s="5"/>
      <c r="AQ93" s="5"/>
      <c r="AR93" s="5"/>
      <c r="AS93" s="5"/>
      <c r="AT93" s="5"/>
      <c r="AU93" s="5"/>
      <c r="AV93" s="5"/>
      <c r="AW93" s="5"/>
      <c r="AX93" s="5"/>
      <c r="AY93" s="40"/>
      <c r="AZ93" s="5"/>
      <c r="BA93" s="5"/>
      <c r="BB93" s="5"/>
      <c r="BC93" s="5"/>
      <c r="BD93" s="5"/>
      <c r="BE93" s="5"/>
      <c r="BF93" s="5"/>
      <c r="BG93" s="5"/>
      <c r="BH93" s="5"/>
      <c r="BI93" s="5"/>
      <c r="BJ93" s="5"/>
    </row>
    <row r="94" spans="1:62" ht="22.5" customHeight="1" x14ac:dyDescent="0.25">
      <c r="A94" s="5"/>
      <c r="B94" s="146"/>
      <c r="C94" s="5"/>
      <c r="D94" s="978" t="s">
        <v>580</v>
      </c>
      <c r="E94" s="979"/>
      <c r="F94" s="979"/>
      <c r="G94" s="979"/>
      <c r="H94" s="979"/>
      <c r="I94" s="979"/>
      <c r="J94" s="979"/>
      <c r="K94" s="979"/>
      <c r="L94" s="979"/>
      <c r="M94" s="979"/>
      <c r="N94" s="979"/>
      <c r="O94" s="974">
        <f>SUM(O77:O92)</f>
        <v>0</v>
      </c>
      <c r="P94" s="974"/>
      <c r="Q94" s="974"/>
      <c r="R94" s="974"/>
      <c r="S94" s="50"/>
      <c r="T94" s="974">
        <f>SUM(T77:T92)</f>
        <v>0</v>
      </c>
      <c r="U94" s="974"/>
      <c r="V94" s="974"/>
      <c r="W94" s="974"/>
      <c r="X94" s="50"/>
      <c r="Y94" s="974">
        <f>SUM(Y77:Y92)</f>
        <v>0</v>
      </c>
      <c r="Z94" s="974"/>
      <c r="AA94" s="974"/>
      <c r="AB94" s="974"/>
      <c r="AC94" s="5"/>
      <c r="AD94" s="146"/>
      <c r="AE94" s="5"/>
      <c r="AF94" s="5"/>
      <c r="AG94" s="5"/>
      <c r="AH94" s="5"/>
      <c r="AI94" s="5"/>
      <c r="AJ94" s="5"/>
      <c r="AK94" s="5"/>
      <c r="AL94" s="5"/>
      <c r="AM94" s="5"/>
      <c r="AN94" s="5"/>
      <c r="AO94" s="5"/>
      <c r="AP94" s="5"/>
      <c r="AQ94" s="5"/>
      <c r="AR94" s="5"/>
      <c r="AS94" s="5"/>
      <c r="AT94" s="5"/>
      <c r="AU94" s="5"/>
      <c r="AV94" s="5"/>
      <c r="AW94" s="5"/>
      <c r="AX94" s="5"/>
      <c r="AY94" s="40"/>
      <c r="AZ94" s="5"/>
      <c r="BA94" s="5"/>
      <c r="BB94" s="5"/>
      <c r="BC94" s="5"/>
      <c r="BD94" s="5"/>
      <c r="BE94" s="5"/>
      <c r="BF94" s="5"/>
      <c r="BG94" s="5"/>
      <c r="BH94" s="5"/>
      <c r="BI94" s="5"/>
      <c r="BJ94" s="5"/>
    </row>
    <row r="95" spans="1:62" ht="10.5" customHeight="1" x14ac:dyDescent="0.25">
      <c r="A95" s="5"/>
      <c r="B95" s="146"/>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146"/>
      <c r="AE95" s="5"/>
      <c r="AF95" s="5"/>
      <c r="AG95" s="5"/>
      <c r="AH95" s="5"/>
      <c r="AI95" s="5"/>
      <c r="AJ95" s="5"/>
      <c r="AK95" s="5"/>
      <c r="AL95" s="5"/>
      <c r="AM95" s="5"/>
      <c r="AN95" s="5"/>
      <c r="AO95" s="5"/>
      <c r="AP95" s="5"/>
      <c r="AQ95" s="5"/>
      <c r="AR95" s="5"/>
      <c r="AS95" s="5"/>
      <c r="AT95" s="5"/>
      <c r="AU95" s="5"/>
      <c r="AV95" s="5"/>
      <c r="AW95" s="5"/>
      <c r="AX95" s="5"/>
      <c r="AY95" s="40"/>
      <c r="AZ95" s="5"/>
      <c r="BA95" s="5"/>
      <c r="BB95" s="5"/>
      <c r="BC95" s="5"/>
      <c r="BD95" s="5"/>
      <c r="BE95" s="5"/>
      <c r="BF95" s="5"/>
      <c r="BG95" s="5"/>
      <c r="BH95" s="5"/>
      <c r="BI95" s="5"/>
      <c r="BJ95" s="5"/>
    </row>
    <row r="96" spans="1:62" ht="22.5" customHeight="1" x14ac:dyDescent="0.25">
      <c r="A96" s="5"/>
      <c r="B96" s="146"/>
      <c r="C96" s="5"/>
      <c r="D96" s="978" t="s">
        <v>581</v>
      </c>
      <c r="E96" s="979"/>
      <c r="F96" s="979"/>
      <c r="G96" s="979"/>
      <c r="H96" s="979"/>
      <c r="I96" s="979"/>
      <c r="J96" s="979"/>
      <c r="K96" s="979"/>
      <c r="L96" s="979"/>
      <c r="M96" s="979"/>
      <c r="N96" s="979"/>
      <c r="O96" s="974" t="str">
        <f>IF(OR('Données - Résidentiel'!Q42=N.D.,'Données - Résidentiel'!BQ70=N.D.,'Données - Résidentiel'!Q164=N.D.,'Données - Résidentiel'!Q180=N.D.,'Données - Résidentiel'!Q226=N.D.),N.D.,SUM('Données - Résidentiel'!Q42,'Données - Résidentiel'!BQ70,'Données - Résidentiel'!Q164,'Données - Résidentiel'!Q180,'Données - Résidentiel'!Q226))</f>
        <v>N.D.</v>
      </c>
      <c r="P96" s="974"/>
      <c r="Q96" s="974"/>
      <c r="R96" s="974"/>
      <c r="S96" s="50"/>
      <c r="T96" s="974" t="str">
        <f>IF(OR('Données - Résidentiel'!V42=N.D.,'Données - Résidentiel'!BV70=N.D.,'Données - Résidentiel'!V164=N.D.,'Données - Résidentiel'!V180=N.D.,'Données - Résidentiel'!W207=N.D.,'Données - Résidentiel'!V226=N.D.,'Données - Résidentiel'!BI213=N.D.),N.D.,SUM('Données - Résidentiel'!V42,'Données - Résidentiel'!BV70,'Données - Résidentiel'!V164,'Données - Résidentiel'!V180,'Données - Résidentiel'!W207,'Données - Résidentiel'!V226,'Données - Résidentiel'!CN213))</f>
        <v>N.D.</v>
      </c>
      <c r="U96" s="974"/>
      <c r="V96" s="974"/>
      <c r="W96" s="974"/>
      <c r="X96" s="50"/>
      <c r="Y96" s="974" t="str">
        <f>IF(OR('Données - Résidentiel'!AA42=N.D.,'Données - Résidentiel'!CA70=N.D.,'Données - Résidentiel'!AA164=N.D.,'Données - Résidentiel'!AA180=N.D.,'Données - Résidentiel'!W207=N.D.,'Données - Résidentiel'!AA226=N.D.,'Données - Résidentiel'!CN213=N.D.),N.D.,SUM('Données - Résidentiel'!AA42,'Données - Résidentiel'!CA70,'Données - Résidentiel'!AA164,'Données - Résidentiel'!AA180,'Données - Résidentiel'!W207,'Données - Résidentiel'!AA226,'Données - Résidentiel'!CN213))</f>
        <v>N.D.</v>
      </c>
      <c r="Z96" s="974"/>
      <c r="AA96" s="974"/>
      <c r="AB96" s="974"/>
      <c r="AC96" s="5"/>
      <c r="AD96" s="146"/>
      <c r="AE96" s="5"/>
      <c r="AF96" s="5"/>
      <c r="AG96" s="5"/>
      <c r="AH96" s="5"/>
      <c r="AI96" s="5"/>
      <c r="AJ96" s="5"/>
      <c r="AK96" s="5"/>
      <c r="AL96" s="5"/>
      <c r="AM96" s="5"/>
      <c r="AN96" s="5"/>
      <c r="AO96" s="5"/>
      <c r="AP96" s="5"/>
      <c r="AQ96" s="5"/>
      <c r="AR96" s="5"/>
      <c r="AS96" s="5"/>
      <c r="AT96" s="5"/>
      <c r="AU96" s="5"/>
      <c r="AV96" s="5"/>
      <c r="AW96" s="5"/>
      <c r="AX96" s="5"/>
      <c r="AY96" s="40"/>
      <c r="AZ96" s="5"/>
      <c r="BA96" s="5"/>
      <c r="BB96" s="5"/>
      <c r="BC96" s="5"/>
      <c r="BD96" s="5"/>
      <c r="BE96" s="5"/>
      <c r="BF96" s="5"/>
      <c r="BG96" s="5"/>
      <c r="BH96" s="5"/>
      <c r="BI96" s="5"/>
      <c r="BJ96" s="5"/>
    </row>
    <row r="97" spans="1:62" ht="30" customHeight="1" x14ac:dyDescent="0.25">
      <c r="A97" s="5"/>
      <c r="B97" s="146"/>
      <c r="C97" s="5"/>
      <c r="D97" s="103"/>
      <c r="E97" s="103"/>
      <c r="F97" s="103"/>
      <c r="G97" s="103"/>
      <c r="H97" s="103"/>
      <c r="I97" s="103"/>
      <c r="J97" s="103"/>
      <c r="K97" s="103"/>
      <c r="L97" s="103"/>
      <c r="M97" s="103"/>
      <c r="N97" s="103"/>
      <c r="O97" s="5"/>
      <c r="P97" s="5"/>
      <c r="Q97" s="5"/>
      <c r="R97" s="5"/>
      <c r="S97" s="5"/>
      <c r="T97" s="5"/>
      <c r="U97" s="5"/>
      <c r="V97" s="5"/>
      <c r="W97" s="5"/>
      <c r="X97" s="5"/>
      <c r="Y97" s="5"/>
      <c r="Z97" s="5"/>
      <c r="AA97" s="5"/>
      <c r="AB97" s="5"/>
      <c r="AC97" s="5"/>
      <c r="AD97" s="146"/>
      <c r="AE97" s="5"/>
      <c r="AF97" s="5"/>
      <c r="AG97" s="5"/>
      <c r="AH97" s="5"/>
      <c r="AI97" s="5"/>
      <c r="AJ97" s="5"/>
      <c r="AK97" s="5"/>
      <c r="AL97" s="5"/>
      <c r="AM97" s="5"/>
      <c r="AN97" s="5"/>
      <c r="AO97" s="5"/>
      <c r="AP97" s="5"/>
      <c r="AQ97" s="5"/>
      <c r="AR97" s="5"/>
      <c r="AS97" s="5"/>
      <c r="AT97" s="5"/>
      <c r="AU97" s="5"/>
      <c r="AV97" s="5"/>
      <c r="AW97" s="5"/>
      <c r="AX97" s="5"/>
      <c r="AY97" s="40"/>
      <c r="AZ97" s="5"/>
      <c r="BA97" s="5"/>
      <c r="BB97" s="5"/>
      <c r="BC97" s="5"/>
      <c r="BD97" s="5"/>
      <c r="BE97" s="5"/>
      <c r="BF97" s="5"/>
      <c r="BG97" s="5"/>
      <c r="BH97" s="5"/>
      <c r="BI97" s="5"/>
      <c r="BJ97" s="5"/>
    </row>
    <row r="98" spans="1:62" ht="33.75" customHeight="1" x14ac:dyDescent="0.25">
      <c r="A98" s="5"/>
      <c r="B98" s="146"/>
      <c r="C98" s="5"/>
      <c r="D98" s="968" t="str">
        <f>D39</f>
        <v xml:space="preserve">Boues municipales de stations d'épuration mécanisées (BSM) </v>
      </c>
      <c r="E98" s="968"/>
      <c r="F98" s="968"/>
      <c r="G98" s="968"/>
      <c r="H98" s="968"/>
      <c r="I98" s="968"/>
      <c r="J98" s="968"/>
      <c r="K98" s="968"/>
      <c r="L98" s="968"/>
      <c r="M98" s="968"/>
      <c r="N98" s="968"/>
      <c r="O98" s="976" t="str">
        <f>O39</f>
        <v>N.A.</v>
      </c>
      <c r="P98" s="976"/>
      <c r="Q98" s="976"/>
      <c r="R98" s="976"/>
      <c r="S98" s="181"/>
      <c r="T98" s="976" t="str">
        <f>T39</f>
        <v>N.A.</v>
      </c>
      <c r="U98" s="976"/>
      <c r="V98" s="976"/>
      <c r="W98" s="976"/>
      <c r="X98" s="181"/>
      <c r="Y98" s="976" t="str">
        <f>Y39</f>
        <v>N.A.</v>
      </c>
      <c r="Z98" s="976"/>
      <c r="AA98" s="976"/>
      <c r="AB98" s="976"/>
      <c r="AC98" s="5"/>
      <c r="AD98" s="146"/>
      <c r="AE98" s="5"/>
      <c r="AF98" s="5"/>
      <c r="AG98" s="5"/>
      <c r="AH98" s="5"/>
      <c r="AI98" s="5"/>
      <c r="AJ98" s="5"/>
      <c r="AK98" s="5"/>
      <c r="AL98" s="5"/>
      <c r="AM98" s="5"/>
      <c r="AN98" s="5"/>
      <c r="AO98" s="5"/>
      <c r="AP98" s="5"/>
      <c r="AQ98" s="5"/>
      <c r="AR98" s="5"/>
      <c r="AS98" s="5"/>
      <c r="AT98" s="5"/>
      <c r="AU98" s="5"/>
      <c r="AV98" s="5"/>
      <c r="AW98" s="5"/>
      <c r="AX98" s="5"/>
      <c r="AY98" s="40"/>
      <c r="AZ98" s="5"/>
      <c r="BA98" s="5"/>
      <c r="BB98" s="5"/>
      <c r="BC98" s="5"/>
      <c r="BD98" s="5"/>
      <c r="BE98" s="5"/>
      <c r="BF98" s="5"/>
      <c r="BG98" s="5"/>
      <c r="BH98" s="5"/>
      <c r="BI98" s="5"/>
      <c r="BJ98" s="5"/>
    </row>
    <row r="99" spans="1:62" ht="22.5" customHeight="1" x14ac:dyDescent="0.25">
      <c r="A99" s="5"/>
      <c r="B99" s="146"/>
      <c r="C99" s="5"/>
      <c r="D99" s="968" t="str">
        <f>D40</f>
        <v xml:space="preserve">Boues municipales d'étangs aérés (BEA) </v>
      </c>
      <c r="E99" s="968"/>
      <c r="F99" s="968"/>
      <c r="G99" s="968"/>
      <c r="H99" s="968"/>
      <c r="I99" s="968"/>
      <c r="J99" s="968"/>
      <c r="K99" s="968"/>
      <c r="L99" s="968"/>
      <c r="M99" s="968"/>
      <c r="N99" s="968"/>
      <c r="O99" s="976" t="str">
        <f>O40</f>
        <v>N.A.</v>
      </c>
      <c r="P99" s="976"/>
      <c r="Q99" s="976"/>
      <c r="R99" s="976"/>
      <c r="S99" s="181"/>
      <c r="T99" s="976" t="str">
        <f>T40</f>
        <v>N.A.</v>
      </c>
      <c r="U99" s="976"/>
      <c r="V99" s="976"/>
      <c r="W99" s="976"/>
      <c r="X99" s="181"/>
      <c r="Y99" s="976" t="str">
        <f>Y40</f>
        <v>N.A.</v>
      </c>
      <c r="Z99" s="976"/>
      <c r="AA99" s="976"/>
      <c r="AB99" s="976"/>
      <c r="AC99" s="5"/>
      <c r="AD99" s="146"/>
      <c r="AE99" s="5"/>
      <c r="AF99" s="5"/>
      <c r="AG99" s="5"/>
      <c r="AH99" s="5"/>
      <c r="AI99" s="5"/>
      <c r="AJ99" s="5"/>
      <c r="AK99" s="5"/>
      <c r="AL99" s="5"/>
      <c r="AM99" s="5"/>
      <c r="AN99" s="5"/>
      <c r="AO99" s="5"/>
      <c r="AP99" s="5"/>
      <c r="AQ99" s="5"/>
      <c r="AR99" s="5"/>
      <c r="AS99" s="5"/>
      <c r="AT99" s="5"/>
      <c r="AU99" s="5"/>
      <c r="AV99" s="5"/>
      <c r="AW99" s="5"/>
      <c r="AX99" s="5"/>
      <c r="AY99" s="40"/>
      <c r="AZ99" s="5"/>
      <c r="BA99" s="5"/>
      <c r="BB99" s="5"/>
      <c r="BC99" s="5"/>
      <c r="BD99" s="5"/>
      <c r="BE99" s="5"/>
      <c r="BF99" s="5"/>
      <c r="BG99" s="5"/>
      <c r="BH99" s="5"/>
      <c r="BI99" s="5"/>
      <c r="BJ99" s="5"/>
    </row>
    <row r="100" spans="1:62" ht="22.5" customHeight="1" x14ac:dyDescent="0.25">
      <c r="A100" s="5"/>
      <c r="B100" s="146"/>
      <c r="C100" s="5"/>
      <c r="D100" s="968" t="str">
        <f>D41</f>
        <v xml:space="preserve">Boues de fosses septiques (BFS) </v>
      </c>
      <c r="E100" s="968"/>
      <c r="F100" s="968"/>
      <c r="G100" s="968"/>
      <c r="H100" s="968"/>
      <c r="I100" s="968"/>
      <c r="J100" s="968"/>
      <c r="K100" s="968"/>
      <c r="L100" s="968"/>
      <c r="M100" s="968"/>
      <c r="N100" s="968"/>
      <c r="O100" s="976" t="str">
        <f>O41</f>
        <v>N.A.</v>
      </c>
      <c r="P100" s="976"/>
      <c r="Q100" s="976"/>
      <c r="R100" s="976"/>
      <c r="S100" s="181"/>
      <c r="T100" s="976" t="str">
        <f>T41</f>
        <v>N.A.</v>
      </c>
      <c r="U100" s="976"/>
      <c r="V100" s="976"/>
      <c r="W100" s="976"/>
      <c r="X100" s="181"/>
      <c r="Y100" s="976" t="str">
        <f>Y41</f>
        <v>N.A.</v>
      </c>
      <c r="Z100" s="976"/>
      <c r="AA100" s="976"/>
      <c r="AB100" s="976"/>
      <c r="AC100" s="5"/>
      <c r="AD100" s="146"/>
      <c r="AE100" s="5"/>
      <c r="AF100" s="5"/>
      <c r="AG100" s="5"/>
      <c r="AH100" s="5"/>
      <c r="AI100" s="5"/>
      <c r="AJ100" s="5"/>
      <c r="AK100" s="5"/>
      <c r="AL100" s="5"/>
      <c r="AM100" s="5"/>
      <c r="AN100" s="5"/>
      <c r="AO100" s="5"/>
      <c r="AP100" s="5"/>
      <c r="AQ100" s="5"/>
      <c r="AR100" s="5"/>
      <c r="AS100" s="5"/>
      <c r="AT100" s="5"/>
      <c r="AU100" s="5"/>
      <c r="AV100" s="5"/>
      <c r="AW100" s="5"/>
      <c r="AX100" s="5"/>
      <c r="AY100" s="40"/>
      <c r="AZ100" s="5"/>
      <c r="BA100" s="5"/>
      <c r="BB100" s="5"/>
      <c r="BC100" s="5"/>
      <c r="BD100" s="5"/>
      <c r="BE100" s="5"/>
      <c r="BF100" s="5"/>
      <c r="BG100" s="5"/>
      <c r="BH100" s="5"/>
      <c r="BI100" s="5"/>
      <c r="BJ100" s="5"/>
    </row>
    <row r="101" spans="1:62" ht="6" customHeight="1" x14ac:dyDescent="0.25">
      <c r="A101" s="5"/>
      <c r="B101" s="146"/>
      <c r="C101" s="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5"/>
      <c r="AD101" s="146"/>
      <c r="AE101" s="5"/>
      <c r="AF101" s="5"/>
      <c r="AG101" s="5"/>
      <c r="AH101" s="5"/>
      <c r="AI101" s="5"/>
      <c r="AJ101" s="5"/>
      <c r="AK101" s="5"/>
      <c r="AL101" s="5"/>
      <c r="AM101" s="5"/>
      <c r="AN101" s="5"/>
      <c r="AO101" s="5"/>
      <c r="AP101" s="5"/>
      <c r="AQ101" s="5"/>
      <c r="AR101" s="5"/>
      <c r="AS101" s="5"/>
      <c r="AT101" s="5"/>
      <c r="AU101" s="5"/>
      <c r="AV101" s="5"/>
      <c r="AW101" s="5"/>
      <c r="AX101" s="5"/>
      <c r="AY101" s="40"/>
      <c r="AZ101" s="5"/>
      <c r="BA101" s="5"/>
      <c r="BB101" s="5"/>
      <c r="BC101" s="5"/>
      <c r="BD101" s="5"/>
      <c r="BE101" s="5"/>
      <c r="BF101" s="5"/>
      <c r="BG101" s="5"/>
      <c r="BH101" s="5"/>
      <c r="BI101" s="5"/>
      <c r="BJ101" s="5"/>
    </row>
    <row r="102" spans="1:62" ht="22.5" customHeight="1" x14ac:dyDescent="0.25">
      <c r="A102" s="5"/>
      <c r="B102" s="146"/>
      <c r="C102" s="5"/>
      <c r="D102" s="978" t="s">
        <v>595</v>
      </c>
      <c r="E102" s="979"/>
      <c r="F102" s="979"/>
      <c r="G102" s="979"/>
      <c r="H102" s="979"/>
      <c r="I102" s="979"/>
      <c r="J102" s="979"/>
      <c r="K102" s="979"/>
      <c r="L102" s="979"/>
      <c r="M102" s="979"/>
      <c r="N102" s="979"/>
      <c r="O102" s="998" t="str">
        <f>O43</f>
        <v>N.D.</v>
      </c>
      <c r="P102" s="998"/>
      <c r="Q102" s="998"/>
      <c r="R102" s="998"/>
      <c r="S102" s="183"/>
      <c r="T102" s="998" t="str">
        <f>T43</f>
        <v>N.D.</v>
      </c>
      <c r="U102" s="998"/>
      <c r="V102" s="998"/>
      <c r="W102" s="998"/>
      <c r="X102" s="183"/>
      <c r="Y102" s="998" t="str">
        <f>Y43</f>
        <v>N.D.</v>
      </c>
      <c r="Z102" s="998"/>
      <c r="AA102" s="998"/>
      <c r="AB102" s="998"/>
      <c r="AC102" s="5"/>
      <c r="AD102" s="146"/>
      <c r="AE102" s="5"/>
      <c r="AF102" s="5"/>
      <c r="AG102" s="5"/>
      <c r="AH102" s="5"/>
      <c r="AI102" s="5"/>
      <c r="AJ102" s="5"/>
      <c r="AK102" s="5"/>
      <c r="AL102" s="5"/>
      <c r="AM102" s="5"/>
      <c r="AN102" s="5"/>
      <c r="AO102" s="5"/>
      <c r="AP102" s="5"/>
      <c r="AQ102" s="5"/>
      <c r="AR102" s="5"/>
      <c r="AS102" s="5"/>
      <c r="AT102" s="5"/>
      <c r="AU102" s="5"/>
      <c r="AV102" s="5"/>
      <c r="AW102" s="5"/>
      <c r="AX102" s="5"/>
      <c r="AY102" s="40"/>
      <c r="AZ102" s="5"/>
      <c r="BA102" s="5"/>
      <c r="BB102" s="5"/>
      <c r="BC102" s="5"/>
      <c r="BD102" s="5"/>
      <c r="BE102" s="5"/>
      <c r="BF102" s="5"/>
      <c r="BG102" s="5"/>
      <c r="BH102" s="5"/>
      <c r="BI102" s="5"/>
      <c r="BJ102" s="5"/>
    </row>
    <row r="103" spans="1:62" ht="10.5" customHeight="1" x14ac:dyDescent="0.25">
      <c r="A103" s="5"/>
      <c r="B103" s="146"/>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146"/>
      <c r="AE103" s="5"/>
      <c r="AF103" s="5"/>
      <c r="AG103" s="5"/>
      <c r="AH103" s="5"/>
      <c r="AI103" s="5"/>
      <c r="AJ103" s="5"/>
      <c r="AK103" s="5"/>
      <c r="AL103" s="5"/>
      <c r="AM103" s="5"/>
      <c r="AN103" s="5"/>
      <c r="AO103" s="5"/>
      <c r="AP103" s="5"/>
      <c r="AQ103" s="5"/>
      <c r="AR103" s="5"/>
      <c r="AS103" s="5"/>
      <c r="AT103" s="5"/>
      <c r="AU103" s="5"/>
      <c r="AV103" s="5"/>
      <c r="AW103" s="5"/>
      <c r="AX103" s="5"/>
      <c r="AY103" s="40"/>
      <c r="AZ103" s="5"/>
      <c r="BA103" s="5"/>
      <c r="BB103" s="5"/>
      <c r="BC103" s="5"/>
      <c r="BD103" s="5"/>
      <c r="BE103" s="5"/>
      <c r="BF103" s="5"/>
      <c r="BG103" s="5"/>
      <c r="BH103" s="5"/>
      <c r="BI103" s="5"/>
      <c r="BJ103" s="5"/>
    </row>
    <row r="104" spans="1:62" ht="22.5" customHeight="1" x14ac:dyDescent="0.25">
      <c r="A104" s="5"/>
      <c r="B104" s="146"/>
      <c r="C104" s="5"/>
      <c r="D104" s="978" t="s">
        <v>596</v>
      </c>
      <c r="E104" s="979"/>
      <c r="F104" s="979"/>
      <c r="G104" s="979"/>
      <c r="H104" s="979"/>
      <c r="I104" s="979"/>
      <c r="J104" s="979"/>
      <c r="K104" s="979"/>
      <c r="L104" s="979"/>
      <c r="M104" s="979"/>
      <c r="N104" s="979"/>
      <c r="O104" s="985" t="str">
        <f>'Données - Résidentiel'!S148</f>
        <v>N.D.</v>
      </c>
      <c r="P104" s="985"/>
      <c r="Q104" s="985"/>
      <c r="R104" s="985"/>
      <c r="S104" s="50"/>
      <c r="T104" s="985" t="str">
        <f>'Données - Résidentiel'!X148</f>
        <v>N.D.</v>
      </c>
      <c r="U104" s="985"/>
      <c r="V104" s="985"/>
      <c r="W104" s="985"/>
      <c r="X104" s="50"/>
      <c r="Y104" s="985" t="str">
        <f>'Données - Résidentiel'!AC148</f>
        <v>N.D.</v>
      </c>
      <c r="Z104" s="985"/>
      <c r="AA104" s="985"/>
      <c r="AB104" s="985"/>
      <c r="AC104" s="5"/>
      <c r="AD104" s="146"/>
      <c r="AE104" s="5"/>
      <c r="AF104" s="5"/>
      <c r="AG104" s="5"/>
      <c r="AH104" s="5"/>
      <c r="AI104" s="5"/>
      <c r="AJ104" s="5"/>
      <c r="AK104" s="5"/>
      <c r="AL104" s="5"/>
      <c r="AM104" s="5"/>
      <c r="AN104" s="5"/>
      <c r="AO104" s="5"/>
      <c r="AP104" s="5"/>
      <c r="AQ104" s="5"/>
      <c r="AR104" s="5"/>
      <c r="AS104" s="5"/>
      <c r="AT104" s="5"/>
      <c r="AU104" s="5"/>
      <c r="AV104" s="5"/>
      <c r="AW104" s="5"/>
      <c r="AX104" s="5"/>
      <c r="AY104" s="40"/>
      <c r="AZ104" s="5"/>
      <c r="BA104" s="5"/>
      <c r="BB104" s="5"/>
      <c r="BC104" s="5"/>
      <c r="BD104" s="5"/>
      <c r="BE104" s="5"/>
      <c r="BF104" s="5"/>
      <c r="BG104" s="5"/>
      <c r="BH104" s="5"/>
      <c r="BI104" s="5"/>
      <c r="BJ104" s="5"/>
    </row>
    <row r="105" spans="1:62" ht="18.75" customHeight="1" x14ac:dyDescent="0.25">
      <c r="A105" s="5"/>
      <c r="B105" s="146"/>
      <c r="C105" s="5"/>
      <c r="D105" s="5"/>
      <c r="E105" s="5"/>
      <c r="F105" s="5"/>
      <c r="G105" s="5"/>
      <c r="H105" s="5"/>
      <c r="I105" s="5"/>
      <c r="J105" s="5"/>
      <c r="K105" s="5"/>
      <c r="L105" s="5"/>
      <c r="M105" s="5"/>
      <c r="N105" s="5"/>
      <c r="O105" s="984" t="str">
        <f>IF(Y98=N.A.,"N.A.  Non applicable","")</f>
        <v>N.A.  Non applicable</v>
      </c>
      <c r="P105" s="984"/>
      <c r="Q105" s="984"/>
      <c r="R105" s="984"/>
      <c r="S105" s="984"/>
      <c r="T105" s="984"/>
      <c r="U105" s="984"/>
      <c r="V105" s="984"/>
      <c r="W105" s="984"/>
      <c r="X105" s="984"/>
      <c r="Y105" s="984"/>
      <c r="Z105" s="984"/>
      <c r="AA105" s="984"/>
      <c r="AB105" s="984"/>
      <c r="AC105" s="5"/>
      <c r="AD105" s="146"/>
      <c r="AE105" s="5"/>
      <c r="AF105" s="5"/>
      <c r="AG105" s="5"/>
      <c r="AH105" s="5"/>
      <c r="AI105" s="5"/>
      <c r="AJ105" s="5"/>
      <c r="AK105" s="5"/>
      <c r="AL105" s="5"/>
      <c r="AM105" s="5"/>
      <c r="AN105" s="5"/>
      <c r="AO105" s="5"/>
      <c r="AP105" s="5"/>
      <c r="AQ105" s="5"/>
      <c r="AR105" s="5"/>
      <c r="AS105" s="5"/>
      <c r="AT105" s="5"/>
      <c r="AU105" s="5"/>
      <c r="AV105" s="5"/>
      <c r="AW105" s="5"/>
      <c r="AX105" s="5"/>
      <c r="AY105" s="40"/>
      <c r="AZ105" s="5"/>
      <c r="BA105" s="5"/>
      <c r="BB105" s="5"/>
      <c r="BC105" s="5"/>
      <c r="BD105" s="5"/>
      <c r="BE105" s="5"/>
      <c r="BF105" s="5"/>
      <c r="BG105" s="5"/>
      <c r="BH105" s="5"/>
      <c r="BI105" s="5"/>
      <c r="BJ105" s="5"/>
    </row>
    <row r="106" spans="1:62" ht="6" customHeight="1" x14ac:dyDescent="0.25">
      <c r="A106" s="5"/>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5"/>
      <c r="BA106" s="5"/>
      <c r="BB106" s="5"/>
      <c r="BC106" s="5"/>
      <c r="BD106" s="5"/>
      <c r="BE106" s="5"/>
      <c r="BF106" s="5"/>
      <c r="BG106" s="5"/>
      <c r="BH106" s="5"/>
      <c r="BI106" s="5"/>
      <c r="BJ106" s="5"/>
    </row>
    <row r="107" spans="1:62" ht="21" x14ac:dyDescent="0.25">
      <c r="A107" s="5"/>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5"/>
      <c r="AF107" s="5"/>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
      <c r="BF107" s="5"/>
      <c r="BG107" s="5"/>
      <c r="BH107" s="5"/>
      <c r="BI107" s="5"/>
      <c r="BJ107" s="5"/>
    </row>
  </sheetData>
  <sheetProtection algorithmName="SHA-512" hashValue="NuYV85v5tSpfDFYzhccHlhh6rfFiacHLd2dBof6l5FUGbYPucOYxlWHDQzf245OmKMSCfeeyGbYh3TS5aMwOHw==" saltValue="uATagDPYBRrU9UylLWZYyQ==" spinCount="100000" sheet="1" objects="1" scenarios="1"/>
  <mergeCells count="244">
    <mergeCell ref="Y81:AB81"/>
    <mergeCell ref="O105:AB105"/>
    <mergeCell ref="D104:N104"/>
    <mergeCell ref="O104:R104"/>
    <mergeCell ref="T104:W104"/>
    <mergeCell ref="Y104:AB104"/>
    <mergeCell ref="D62:N62"/>
    <mergeCell ref="D63:N63"/>
    <mergeCell ref="O63:R63"/>
    <mergeCell ref="T63:W63"/>
    <mergeCell ref="Y63:AB63"/>
    <mergeCell ref="D102:N102"/>
    <mergeCell ref="O102:R102"/>
    <mergeCell ref="T102:W102"/>
    <mergeCell ref="Y102:AB102"/>
    <mergeCell ref="O80:R80"/>
    <mergeCell ref="T80:W80"/>
    <mergeCell ref="Y80:AB80"/>
    <mergeCell ref="D99:N99"/>
    <mergeCell ref="Y84:AB84"/>
    <mergeCell ref="Y82:AB82"/>
    <mergeCell ref="D83:N83"/>
    <mergeCell ref="O83:R83"/>
    <mergeCell ref="T83:W83"/>
    <mergeCell ref="Y61:AB61"/>
    <mergeCell ref="O50:AB50"/>
    <mergeCell ref="E61:N61"/>
    <mergeCell ref="D53:N53"/>
    <mergeCell ref="O53:R53"/>
    <mergeCell ref="T53:W53"/>
    <mergeCell ref="O61:R61"/>
    <mergeCell ref="T61:W61"/>
    <mergeCell ref="O58:R58"/>
    <mergeCell ref="T58:W58"/>
    <mergeCell ref="T59:W59"/>
    <mergeCell ref="E60:N60"/>
    <mergeCell ref="D59:N59"/>
    <mergeCell ref="O59:R59"/>
    <mergeCell ref="D18:N18"/>
    <mergeCell ref="D77:N77"/>
    <mergeCell ref="D78:N78"/>
    <mergeCell ref="AE12:AY12"/>
    <mergeCell ref="AF20:AS20"/>
    <mergeCell ref="AU18:AW18"/>
    <mergeCell ref="O19:R19"/>
    <mergeCell ref="T19:W19"/>
    <mergeCell ref="Y19:AB19"/>
    <mergeCell ref="AF19:AS19"/>
    <mergeCell ref="AU19:AW19"/>
    <mergeCell ref="O18:R18"/>
    <mergeCell ref="T18:W18"/>
    <mergeCell ref="Y18:AB18"/>
    <mergeCell ref="AU20:AW20"/>
    <mergeCell ref="O20:R20"/>
    <mergeCell ref="T20:W20"/>
    <mergeCell ref="Y20:AB20"/>
    <mergeCell ref="Y48:AB48"/>
    <mergeCell ref="Y53:AB53"/>
    <mergeCell ref="Y59:AB59"/>
    <mergeCell ref="O62:R62"/>
    <mergeCell ref="T62:W62"/>
    <mergeCell ref="Y60:AB60"/>
    <mergeCell ref="T29:W29"/>
    <mergeCell ref="Y29:AB29"/>
    <mergeCell ref="Y31:AB31"/>
    <mergeCell ref="D28:N28"/>
    <mergeCell ref="D14:N14"/>
    <mergeCell ref="O14:AB14"/>
    <mergeCell ref="AO14:AW14"/>
    <mergeCell ref="D100:N100"/>
    <mergeCell ref="T100:W100"/>
    <mergeCell ref="Y100:AB100"/>
    <mergeCell ref="AF18:AS18"/>
    <mergeCell ref="AO16:AW16"/>
    <mergeCell ref="Y16:AB16"/>
    <mergeCell ref="T16:W16"/>
    <mergeCell ref="O16:R16"/>
    <mergeCell ref="AS23:AT23"/>
    <mergeCell ref="O21:R21"/>
    <mergeCell ref="T21:W21"/>
    <mergeCell ref="Y21:AB21"/>
    <mergeCell ref="AF21:AS21"/>
    <mergeCell ref="AU21:AW21"/>
    <mergeCell ref="O25:AB25"/>
    <mergeCell ref="O27:R27"/>
    <mergeCell ref="T27:W27"/>
    <mergeCell ref="D21:N21"/>
    <mergeCell ref="T23:W23"/>
    <mergeCell ref="Y23:AB23"/>
    <mergeCell ref="O28:R28"/>
    <mergeCell ref="T28:W28"/>
    <mergeCell ref="Y28:AB28"/>
    <mergeCell ref="D23:N23"/>
    <mergeCell ref="O75:AB75"/>
    <mergeCell ref="D67:N67"/>
    <mergeCell ref="E65:N65"/>
    <mergeCell ref="D75:N75"/>
    <mergeCell ref="D69:N69"/>
    <mergeCell ref="O69:AB69"/>
    <mergeCell ref="O70:R70"/>
    <mergeCell ref="T70:W70"/>
    <mergeCell ref="Y70:AB70"/>
    <mergeCell ref="D56:N56"/>
    <mergeCell ref="O56:AB56"/>
    <mergeCell ref="D50:N50"/>
    <mergeCell ref="Y58:AB58"/>
    <mergeCell ref="Y38:AB38"/>
    <mergeCell ref="D39:N39"/>
    <mergeCell ref="O39:R39"/>
    <mergeCell ref="T39:W39"/>
    <mergeCell ref="D43:N43"/>
    <mergeCell ref="O43:R43"/>
    <mergeCell ref="T43:W43"/>
    <mergeCell ref="Y43:AB43"/>
    <mergeCell ref="O23:R23"/>
    <mergeCell ref="Y39:AB39"/>
    <mergeCell ref="D41:N41"/>
    <mergeCell ref="O41:R41"/>
    <mergeCell ref="T41:W41"/>
    <mergeCell ref="Y41:AB41"/>
    <mergeCell ref="Y40:AB40"/>
    <mergeCell ref="Y27:AB27"/>
    <mergeCell ref="D30:N30"/>
    <mergeCell ref="O30:R30"/>
    <mergeCell ref="Y33:AB33"/>
    <mergeCell ref="D36:N36"/>
    <mergeCell ref="O34:AB34"/>
    <mergeCell ref="O36:AB36"/>
    <mergeCell ref="O33:R33"/>
    <mergeCell ref="T33:W33"/>
    <mergeCell ref="T30:W30"/>
    <mergeCell ref="Y30:AB30"/>
    <mergeCell ref="D29:N29"/>
    <mergeCell ref="O29:R29"/>
    <mergeCell ref="D19:N19"/>
    <mergeCell ref="E64:N64"/>
    <mergeCell ref="D25:N25"/>
    <mergeCell ref="D33:N33"/>
    <mergeCell ref="O65:R65"/>
    <mergeCell ref="T65:W65"/>
    <mergeCell ref="O52:R52"/>
    <mergeCell ref="T52:W52"/>
    <mergeCell ref="D31:N31"/>
    <mergeCell ref="O31:R31"/>
    <mergeCell ref="T31:W31"/>
    <mergeCell ref="D40:N40"/>
    <mergeCell ref="O40:R40"/>
    <mergeCell ref="T40:W40"/>
    <mergeCell ref="O44:AB44"/>
    <mergeCell ref="T64:W64"/>
    <mergeCell ref="Y64:AB64"/>
    <mergeCell ref="Y65:AB65"/>
    <mergeCell ref="Y52:AB52"/>
    <mergeCell ref="Y62:AB62"/>
    <mergeCell ref="D20:N20"/>
    <mergeCell ref="O64:R64"/>
    <mergeCell ref="O38:R38"/>
    <mergeCell ref="T38:W38"/>
    <mergeCell ref="D98:N98"/>
    <mergeCell ref="O98:R98"/>
    <mergeCell ref="T98:W98"/>
    <mergeCell ref="Y98:AB98"/>
    <mergeCell ref="T87:W87"/>
    <mergeCell ref="T88:W88"/>
    <mergeCell ref="Y87:AB87"/>
    <mergeCell ref="Y86:AB86"/>
    <mergeCell ref="O87:R87"/>
    <mergeCell ref="O88:R88"/>
    <mergeCell ref="T96:W96"/>
    <mergeCell ref="Y96:AB96"/>
    <mergeCell ref="Y92:AB92"/>
    <mergeCell ref="D94:N94"/>
    <mergeCell ref="O94:R94"/>
    <mergeCell ref="Y91:AB91"/>
    <mergeCell ref="Y94:AB94"/>
    <mergeCell ref="D96:N96"/>
    <mergeCell ref="O96:R96"/>
    <mergeCell ref="D92:N92"/>
    <mergeCell ref="D91:N91"/>
    <mergeCell ref="D90:N90"/>
    <mergeCell ref="D89:N89"/>
    <mergeCell ref="O100:R100"/>
    <mergeCell ref="Y90:AB90"/>
    <mergeCell ref="O76:R76"/>
    <mergeCell ref="T76:W76"/>
    <mergeCell ref="Y76:AB76"/>
    <mergeCell ref="T77:W77"/>
    <mergeCell ref="Y77:AB77"/>
    <mergeCell ref="O78:R78"/>
    <mergeCell ref="T78:W78"/>
    <mergeCell ref="T94:W94"/>
    <mergeCell ref="O90:R90"/>
    <mergeCell ref="T90:W90"/>
    <mergeCell ref="O91:R91"/>
    <mergeCell ref="T91:W91"/>
    <mergeCell ref="O99:R99"/>
    <mergeCell ref="T99:W99"/>
    <mergeCell ref="Y88:AB88"/>
    <mergeCell ref="Y99:AB99"/>
    <mergeCell ref="O85:R85"/>
    <mergeCell ref="T85:W85"/>
    <mergeCell ref="T92:W92"/>
    <mergeCell ref="O92:R92"/>
    <mergeCell ref="Y89:AB89"/>
    <mergeCell ref="Y85:AB85"/>
    <mergeCell ref="Y83:AB83"/>
    <mergeCell ref="Y78:AB78"/>
    <mergeCell ref="O45:AB45"/>
    <mergeCell ref="O47:R47"/>
    <mergeCell ref="D45:N45"/>
    <mergeCell ref="T47:W47"/>
    <mergeCell ref="D85:N85"/>
    <mergeCell ref="O89:R89"/>
    <mergeCell ref="T89:W89"/>
    <mergeCell ref="D87:N87"/>
    <mergeCell ref="D86:N86"/>
    <mergeCell ref="O86:R86"/>
    <mergeCell ref="T86:W86"/>
    <mergeCell ref="Y47:AB47"/>
    <mergeCell ref="O79:R79"/>
    <mergeCell ref="T79:W79"/>
    <mergeCell ref="Y79:AB79"/>
    <mergeCell ref="O60:R60"/>
    <mergeCell ref="T60:W60"/>
    <mergeCell ref="O67:R67"/>
    <mergeCell ref="T67:W67"/>
    <mergeCell ref="Y67:AB67"/>
    <mergeCell ref="D79:N79"/>
    <mergeCell ref="D80:N80"/>
    <mergeCell ref="D71:N71"/>
    <mergeCell ref="T71:W71"/>
    <mergeCell ref="D48:N48"/>
    <mergeCell ref="O48:R48"/>
    <mergeCell ref="T48:W48"/>
    <mergeCell ref="T84:W84"/>
    <mergeCell ref="D81:N81"/>
    <mergeCell ref="O81:R81"/>
    <mergeCell ref="T81:W81"/>
    <mergeCell ref="D82:N82"/>
    <mergeCell ref="O82:R82"/>
    <mergeCell ref="T82:W82"/>
    <mergeCell ref="O77:R77"/>
    <mergeCell ref="D84:N84"/>
    <mergeCell ref="O84:R84"/>
  </mergeCells>
  <phoneticPr fontId="26" type="noConversion"/>
  <conditionalFormatting sqref="AF18 AF20:AF21">
    <cfRule type="expression" dxfId="114" priority="4" stopIfTrue="1">
      <formula>AF18=BA18</formula>
    </cfRule>
    <cfRule type="expression" dxfId="113" priority="5" stopIfTrue="1">
      <formula>NOT(ISERROR(SEARCH("aucun message",AF18)))</formula>
    </cfRule>
    <cfRule type="expression" dxfId="112" priority="6" stopIfTrue="1">
      <formula>NOT(ISERROR(SEARCH("désactivé",AF18)))</formula>
    </cfRule>
  </conditionalFormatting>
  <conditionalFormatting sqref="O85:R85 T85:W85 Y85:AB85 O48:R48 T48:W48 Y48:AB48">
    <cfRule type="expression" dxfId="111" priority="7" stopIfTrue="1">
      <formula>$O$45&lt;&gt;""</formula>
    </cfRule>
  </conditionalFormatting>
  <conditionalFormatting sqref="O86:R86 T86:W86 Y86:AB86 Y53:AB53 O53:R53 T53:W53">
    <cfRule type="expression" dxfId="110" priority="8" stopIfTrue="1">
      <formula>$O$50&lt;&gt;""</formula>
    </cfRule>
  </conditionalFormatting>
  <conditionalFormatting sqref="T87:W91 O87:R91 Y87:AB91 O67:R67 Y67:AB67 T67:W67 Y59:AB65 T59:W65 O59:R65">
    <cfRule type="expression" dxfId="109" priority="9" stopIfTrue="1">
      <formula>$O$56&lt;&gt;""</formula>
    </cfRule>
  </conditionalFormatting>
  <conditionalFormatting sqref="O56:AB56 O75:AB75 O50:AB50 O45:AB45 O36:AB36 O69:AB69 O14:AB15 O25:AB25">
    <cfRule type="expression" dxfId="108" priority="10" stopIfTrue="1">
      <formula>LEN(TRIM(O14))=0</formula>
    </cfRule>
  </conditionalFormatting>
  <conditionalFormatting sqref="O77:R81 Y77:AB81 T77:W81 O23:R23 O18:O21 Y23:AB23 Y18:AB21 T23 T18:T21">
    <cfRule type="expression" dxfId="107" priority="11" stopIfTrue="1">
      <formula>NOT($O$14="")</formula>
    </cfRule>
  </conditionalFormatting>
  <conditionalFormatting sqref="O33:R33 Y33:AB33 O81:R84 T81:W84 Y81:AB84 O28:R31 T28:W31 Y28:AB31 T33:W33">
    <cfRule type="expression" dxfId="106" priority="12" stopIfTrue="1">
      <formula>$O$25&lt;&gt;""</formula>
    </cfRule>
  </conditionalFormatting>
  <conditionalFormatting sqref="AU18:AV18 AU20:AV21 AO14:AW15">
    <cfRule type="expression" dxfId="105" priority="13" stopIfTrue="1">
      <formula>LEN(TRIM(AO14))&gt;0</formula>
    </cfRule>
  </conditionalFormatting>
  <conditionalFormatting sqref="AT18:AW18 AT20:AW21 AO16 AO17:AW17">
    <cfRule type="expression" dxfId="104" priority="14" stopIfTrue="1">
      <formula>$AO$14="désactivation globale"</formula>
    </cfRule>
    <cfRule type="expression" dxfId="103" priority="15" stopIfTrue="1">
      <formula>$AO$14="activation globale"</formula>
    </cfRule>
  </conditionalFormatting>
  <conditionalFormatting sqref="O94:R94 T94:W94 Y94:AB94">
    <cfRule type="expression" dxfId="102" priority="16" stopIfTrue="1">
      <formula>NOT($O$75="")</formula>
    </cfRule>
  </conditionalFormatting>
  <conditionalFormatting sqref="O96:R96 Y104:AB104 T96:W96 O104:R104 T104:W104 Y96:AB96">
    <cfRule type="expression" dxfId="101" priority="17" stopIfTrue="1">
      <formula>O96=N.D.</formula>
    </cfRule>
  </conditionalFormatting>
  <conditionalFormatting sqref="O98:R100 T98:W100 Y98:AB100 O102:R102 T102:W102 Y102:AB102">
    <cfRule type="expression" dxfId="100" priority="18" stopIfTrue="1">
      <formula>NOT($O$36="")</formula>
    </cfRule>
  </conditionalFormatting>
  <conditionalFormatting sqref="T92:W92 O92:R92 Y92:AB92 T71:W71">
    <cfRule type="expression" dxfId="99" priority="19" stopIfTrue="1">
      <formula>$O$69&lt;&gt;""</formula>
    </cfRule>
  </conditionalFormatting>
  <conditionalFormatting sqref="O39:R41 T39:W41 Y39:AB41 O43:R43 T43:W43 Y43:AB43">
    <cfRule type="expression" dxfId="98" priority="1">
      <formula>$O$36&lt;&gt;""</formula>
    </cfRule>
  </conditionalFormatting>
  <dataValidations disablePrompts="1" count="2">
    <dataValidation type="list" allowBlank="1" showInputMessage="1" showErrorMessage="1" sqref="AU18:AW21" xr:uid="{00000000-0002-0000-0200-000000000000}">
      <formula1>deroulant_activation_I</formula1>
    </dataValidation>
    <dataValidation type="list" allowBlank="1" showInputMessage="1" showErrorMessage="1" sqref="AO14:AW15" xr:uid="{00000000-0002-0000-0200-000001000000}">
      <formula1>deroulant_activation_G</formula1>
    </dataValidation>
  </dataValidations>
  <pageMargins left="0.39370078740157483" right="0.39370078740157483" top="0.39370078740157483" bottom="0.39370078740157483" header="0.31496062992125984" footer="0.27559055118110237"/>
  <pageSetup fitToHeight="0" orientation="portrait"/>
  <headerFooter alignWithMargins="0">
    <oddFooter>&amp;RRésultats du secteur résidentiel - Page &amp;P de &amp;N</oddFooter>
  </headerFooter>
  <rowBreaks count="1" manualBreakCount="1">
    <brk id="74" min="1" max="2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indexed="17"/>
    <pageSetUpPr autoPageBreaks="0" fitToPage="1"/>
  </sheetPr>
  <dimension ref="A1:GR297"/>
  <sheetViews>
    <sheetView showGridLines="0" showRowColHeaders="0" topLeftCell="E1" zoomScaleNormal="100" workbookViewId="0">
      <selection activeCell="E1" sqref="E1"/>
    </sheetView>
  </sheetViews>
  <sheetFormatPr baseColWidth="10" defaultColWidth="3.140625" defaultRowHeight="15" customHeight="1" x14ac:dyDescent="0.25"/>
  <cols>
    <col min="1" max="1" width="5.7109375" style="5" hidden="1" customWidth="1"/>
    <col min="2" max="2" width="11.28515625" style="5" hidden="1" customWidth="1"/>
    <col min="3" max="3" width="10.140625" style="5" hidden="1" customWidth="1"/>
    <col min="4" max="4" width="9.42578125" style="5" hidden="1" customWidth="1"/>
    <col min="5" max="5" width="3.140625" style="5" customWidth="1"/>
    <col min="6" max="6" width="1" style="5" customWidth="1"/>
    <col min="7" max="7" width="1.85546875" style="5" customWidth="1"/>
    <col min="8" max="8" width="3.140625" style="5"/>
    <col min="9" max="9" width="4.42578125" style="5" customWidth="1"/>
    <col min="10" max="33" width="3.140625" style="5"/>
    <col min="34" max="34" width="4.42578125" style="5" customWidth="1"/>
    <col min="35" max="35" width="3.140625" style="5"/>
    <col min="36" max="36" width="7.42578125" style="5" bestFit="1" customWidth="1"/>
    <col min="37" max="49" width="3.140625" style="5"/>
    <col min="50" max="50" width="3.5703125" style="5" customWidth="1"/>
    <col min="51" max="55" width="3.140625" style="5"/>
    <col min="56" max="56" width="1.5703125" style="5" customWidth="1"/>
    <col min="57" max="57" width="1.42578125" style="5" customWidth="1"/>
    <col min="58" max="59" width="3.7109375" style="5" customWidth="1"/>
    <col min="60" max="60" width="3" style="5" customWidth="1"/>
    <col min="61" max="72" width="3.7109375" style="5" customWidth="1"/>
    <col min="73" max="73" width="2.7109375" style="5" customWidth="1"/>
    <col min="74" max="74" width="2" style="5" customWidth="1"/>
    <col min="75" max="75" width="3.7109375" style="5" customWidth="1"/>
    <col min="76" max="76" width="4.7109375" style="5" customWidth="1"/>
    <col min="77" max="79" width="3.7109375" style="5" customWidth="1"/>
    <col min="80" max="80" width="4.42578125" style="5" customWidth="1"/>
    <col min="81" max="81" width="3.7109375" style="5" customWidth="1"/>
    <col min="82" max="82" width="3.28515625" style="5" customWidth="1"/>
    <col min="83" max="83" width="1.42578125" style="5" customWidth="1"/>
    <col min="84" max="107" width="3.7109375" style="5" customWidth="1"/>
    <col min="108" max="108" width="1.42578125" style="5" customWidth="1"/>
    <col min="109" max="109" width="3.7109375" style="5" customWidth="1"/>
    <col min="110" max="110" width="1.140625" style="5" customWidth="1"/>
    <col min="111" max="111" width="3.7109375" style="5" customWidth="1"/>
    <col min="112" max="200" width="3.7109375" style="5" hidden="1" customWidth="1"/>
    <col min="201" max="339" width="3.7109375" style="5" customWidth="1"/>
    <col min="340" max="16384" width="3.140625" style="5"/>
  </cols>
  <sheetData>
    <row r="1" spans="1:173" ht="15" customHeight="1" x14ac:dyDescent="0.25">
      <c r="B1" s="6" t="s">
        <v>306</v>
      </c>
      <c r="C1" s="71" t="s">
        <v>307</v>
      </c>
      <c r="EV1" s="26"/>
      <c r="EW1" s="26"/>
      <c r="EX1" s="26"/>
      <c r="EY1" s="26"/>
      <c r="EZ1" s="26"/>
      <c r="FA1" s="26"/>
      <c r="FB1" s="26"/>
      <c r="FC1" s="26"/>
    </row>
    <row r="2" spans="1:173" ht="22.5" customHeight="1" x14ac:dyDescent="0.25">
      <c r="B2" s="5">
        <v>3</v>
      </c>
      <c r="C2" s="72"/>
      <c r="F2" s="124"/>
      <c r="G2" s="124"/>
      <c r="H2" s="124" t="str">
        <f>B2&amp;"."</f>
        <v>3.</v>
      </c>
      <c r="I2" s="124" t="s">
        <v>365</v>
      </c>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635"/>
      <c r="BE2" s="635"/>
      <c r="BF2" s="635"/>
      <c r="BG2" s="635"/>
      <c r="BH2" s="635"/>
      <c r="BI2" s="635"/>
      <c r="BJ2" s="635"/>
      <c r="BK2" s="635"/>
      <c r="BL2" s="635"/>
      <c r="BM2" s="635"/>
      <c r="BN2" s="635"/>
      <c r="BO2" s="635"/>
      <c r="BP2" s="635"/>
      <c r="BQ2" s="635"/>
      <c r="BR2" s="635"/>
      <c r="BS2" s="635"/>
      <c r="BT2" s="635"/>
      <c r="BU2" s="635"/>
      <c r="BV2" s="635"/>
      <c r="BW2" s="635"/>
      <c r="BX2" s="635"/>
      <c r="BY2" s="635"/>
      <c r="BZ2" s="635"/>
      <c r="CA2" s="635"/>
      <c r="CB2" s="635"/>
      <c r="CC2" s="635"/>
      <c r="CD2" s="635"/>
      <c r="CE2" s="635"/>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t="str">
        <f>"Version "&amp;Paramètres!G3</f>
        <v>Version 2022</v>
      </c>
      <c r="DE2" s="270"/>
      <c r="DF2" s="124"/>
      <c r="DG2" s="222"/>
      <c r="DH2" s="222"/>
      <c r="DI2" s="222"/>
    </row>
    <row r="3" spans="1:173" ht="3.75" customHeight="1" thickBot="1" x14ac:dyDescent="0.3">
      <c r="C3" s="72"/>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row>
    <row r="4" spans="1:173" ht="15" customHeight="1" thickBot="1" x14ac:dyDescent="0.3">
      <c r="C4" s="72"/>
      <c r="F4" s="124"/>
      <c r="DF4" s="124"/>
      <c r="DN4" s="772" t="s">
        <v>438</v>
      </c>
      <c r="DO4" s="773"/>
      <c r="DP4" s="773"/>
      <c r="DQ4" s="773"/>
      <c r="DR4" s="773"/>
      <c r="DS4" s="773"/>
      <c r="DT4" s="773"/>
      <c r="DU4" s="774"/>
      <c r="DW4" s="772" t="s">
        <v>439</v>
      </c>
      <c r="DX4" s="773"/>
      <c r="DY4" s="773"/>
      <c r="DZ4" s="773"/>
      <c r="EA4" s="773"/>
      <c r="EB4" s="773"/>
      <c r="EC4" s="773"/>
      <c r="ED4" s="774"/>
    </row>
    <row r="5" spans="1:173" ht="15" customHeight="1" thickBot="1" x14ac:dyDescent="0.3">
      <c r="C5" s="72">
        <v>1</v>
      </c>
      <c r="F5" s="124"/>
      <c r="I5" s="185" t="str">
        <f>CONCATENATE($B$2,".",$C5,".")</f>
        <v>3.1.</v>
      </c>
      <c r="J5" s="1071" t="s">
        <v>465</v>
      </c>
      <c r="K5" s="1071"/>
      <c r="L5" s="1071"/>
      <c r="M5" s="1071"/>
      <c r="N5" s="1071"/>
      <c r="O5" s="1071"/>
      <c r="P5" s="1071"/>
      <c r="Q5" s="1071"/>
      <c r="R5" s="1071"/>
      <c r="S5" s="1071"/>
      <c r="T5" s="1071"/>
      <c r="U5" s="1071"/>
      <c r="V5" s="1071"/>
      <c r="W5" s="1071"/>
      <c r="X5" s="1071"/>
      <c r="Y5" s="1071"/>
      <c r="Z5" s="1071"/>
      <c r="BF5" s="19"/>
      <c r="BG5" s="19"/>
      <c r="BH5" s="19"/>
      <c r="BI5" s="19"/>
      <c r="BJ5" s="19"/>
      <c r="BK5" s="19"/>
      <c r="BL5" s="19"/>
      <c r="BM5" s="19"/>
      <c r="BN5" s="19"/>
      <c r="BO5" s="19"/>
      <c r="BP5" s="19"/>
      <c r="BQ5" s="19"/>
      <c r="BR5" s="19"/>
      <c r="BS5" s="19"/>
      <c r="BT5" s="19"/>
      <c r="BU5" s="19"/>
      <c r="BV5" s="19"/>
      <c r="BW5" s="19"/>
      <c r="BX5" s="19"/>
      <c r="BY5" s="19"/>
      <c r="BZ5" s="19"/>
      <c r="CA5" s="19"/>
      <c r="CB5" s="19"/>
      <c r="CC5" s="19"/>
      <c r="CE5" s="636"/>
      <c r="CF5" s="636"/>
      <c r="CG5" s="636"/>
      <c r="CH5" s="650" t="s">
        <v>542</v>
      </c>
      <c r="CI5" s="636"/>
      <c r="CJ5" s="636"/>
      <c r="CK5" s="636"/>
      <c r="CL5" s="636"/>
      <c r="CM5" s="636"/>
      <c r="CN5" s="636"/>
      <c r="CO5" s="636"/>
      <c r="CP5" s="636"/>
      <c r="CQ5" s="636"/>
      <c r="CR5" s="636"/>
      <c r="CS5" s="636"/>
      <c r="CT5" s="636"/>
      <c r="CU5" s="636"/>
      <c r="CV5" s="636"/>
      <c r="CW5" s="636"/>
      <c r="CX5" s="636"/>
      <c r="CY5" s="636"/>
      <c r="CZ5" s="636"/>
      <c r="DA5" s="636"/>
      <c r="DB5" s="636"/>
      <c r="DC5" s="636"/>
      <c r="DD5" s="636"/>
      <c r="DF5" s="124"/>
      <c r="DN5" s="109"/>
      <c r="DO5" s="110"/>
      <c r="DP5" s="110"/>
      <c r="DQ5" s="110"/>
      <c r="DR5" s="110"/>
      <c r="DS5" s="111"/>
      <c r="DT5" s="111"/>
      <c r="DU5" s="112"/>
      <c r="DW5" s="109"/>
      <c r="DX5" s="110"/>
      <c r="DY5" s="110"/>
      <c r="DZ5" s="110"/>
      <c r="EA5" s="110"/>
      <c r="EB5" s="111"/>
      <c r="EC5" s="111"/>
      <c r="ED5" s="112"/>
    </row>
    <row r="6" spans="1:173" ht="15" customHeight="1" thickBot="1" x14ac:dyDescent="0.3">
      <c r="C6" s="73"/>
      <c r="F6" s="124"/>
      <c r="H6" s="12"/>
      <c r="J6" s="73"/>
      <c r="K6" s="125"/>
      <c r="L6" s="59"/>
      <c r="M6" s="59"/>
      <c r="N6" s="59"/>
      <c r="O6" s="59"/>
      <c r="P6" s="59"/>
      <c r="Q6" s="59"/>
      <c r="R6" s="59"/>
      <c r="S6" s="59"/>
      <c r="T6" s="59"/>
      <c r="U6" s="59"/>
      <c r="V6" s="59"/>
      <c r="W6" s="59"/>
      <c r="X6" s="59"/>
      <c r="Y6" s="19"/>
      <c r="Z6" s="19"/>
      <c r="AA6" s="19"/>
      <c r="AL6" s="1156" t="str">
        <f>titre_marge</f>
        <v>Écart de validation recommandé</v>
      </c>
      <c r="AM6" s="1156"/>
      <c r="AN6" s="1156"/>
      <c r="AO6" s="1156"/>
      <c r="AP6" s="1156"/>
      <c r="AQ6" s="1156"/>
      <c r="AR6" s="1156"/>
      <c r="AS6" s="1156"/>
      <c r="AT6" s="1156"/>
      <c r="AU6" s="1156"/>
      <c r="AV6" s="1156"/>
      <c r="AW6" s="1156"/>
      <c r="AX6" s="1156"/>
      <c r="AY6" s="1156"/>
      <c r="AZ6" s="19"/>
      <c r="BA6" s="19"/>
      <c r="BB6" s="19"/>
      <c r="BC6" s="19"/>
      <c r="BF6" s="644"/>
      <c r="BG6" s="1148" t="s">
        <v>804</v>
      </c>
      <c r="BH6" s="1148"/>
      <c r="BI6" s="1148"/>
      <c r="BJ6" s="1148"/>
      <c r="BK6" s="1148"/>
      <c r="BL6" s="1148"/>
      <c r="BM6" s="1148"/>
      <c r="BN6" s="1148"/>
      <c r="BO6" s="1148"/>
      <c r="BP6" s="1148"/>
      <c r="BQ6" s="1148"/>
      <c r="BR6" s="1148"/>
      <c r="BS6" s="1148"/>
      <c r="BT6" s="1148"/>
      <c r="BU6" s="1148"/>
      <c r="BV6" s="1148"/>
      <c r="BW6" s="1148"/>
      <c r="BX6" s="1148"/>
      <c r="BY6" s="1148"/>
      <c r="BZ6" s="1148"/>
      <c r="CA6" s="1148"/>
      <c r="CB6" s="1148"/>
      <c r="CC6" s="645"/>
      <c r="CD6" s="19"/>
      <c r="CE6" s="636"/>
      <c r="DD6" s="636"/>
      <c r="DF6" s="124"/>
      <c r="DN6" s="1057" t="str">
        <f>Paramètres!D107</f>
        <v>Papier-carton</v>
      </c>
      <c r="DO6" s="1055" t="str">
        <f>Paramètres!D108</f>
        <v xml:space="preserve">Métal </v>
      </c>
      <c r="DP6" s="1055" t="str">
        <f>Paramètres!D109</f>
        <v xml:space="preserve">Plastique </v>
      </c>
      <c r="DQ6" s="1055" t="str">
        <f>Paramètres!D110</f>
        <v xml:space="preserve">Verre </v>
      </c>
      <c r="DR6" s="1054"/>
      <c r="DS6" s="1055" t="str">
        <f>Paramètres!D112</f>
        <v>Résidus verts</v>
      </c>
      <c r="DT6" s="1055" t="str">
        <f>Paramètres!D113</f>
        <v>Résidus alimentaires</v>
      </c>
      <c r="DU6" s="1054" t="str">
        <f>Paramètres!D114</f>
        <v>Autres résidus organiques</v>
      </c>
      <c r="DW6" s="1057" t="str">
        <f>Paramètres!D97</f>
        <v>Papier-carton</v>
      </c>
      <c r="DX6" s="1055" t="str">
        <f>Paramètres!D98</f>
        <v xml:space="preserve">Métal </v>
      </c>
      <c r="DY6" s="1055" t="str">
        <f>Paramètres!D99</f>
        <v xml:space="preserve">Plastique </v>
      </c>
      <c r="DZ6" s="1055" t="str">
        <f>Paramètres!D100</f>
        <v xml:space="preserve">Verre </v>
      </c>
      <c r="EA6" s="1054"/>
      <c r="EB6" s="1055" t="str">
        <f>Paramètres!D102</f>
        <v>Résidus verts</v>
      </c>
      <c r="EC6" s="1055" t="str">
        <f>Paramètres!D103</f>
        <v>Résidus alimentaires</v>
      </c>
      <c r="ED6" s="1054" t="str">
        <f>Paramètres!D104</f>
        <v>Autres résidus organiques</v>
      </c>
      <c r="EK6" s="106"/>
      <c r="EL6" s="107"/>
      <c r="EM6" s="107"/>
      <c r="EN6" s="107"/>
      <c r="EO6" s="107"/>
      <c r="EP6" s="107"/>
      <c r="EQ6" s="107"/>
      <c r="ER6" s="107"/>
      <c r="ES6" s="107"/>
      <c r="ET6" s="107"/>
      <c r="EU6" s="107"/>
      <c r="EV6" s="107"/>
      <c r="EW6" s="107"/>
      <c r="EX6" s="107"/>
      <c r="EY6" s="107"/>
      <c r="EZ6" s="107"/>
      <c r="FA6" s="107"/>
      <c r="FB6" s="107"/>
      <c r="FC6" s="107"/>
      <c r="FD6" s="107"/>
      <c r="FE6" s="107"/>
      <c r="FF6" s="107"/>
      <c r="FG6" s="107"/>
      <c r="FH6" s="108"/>
    </row>
    <row r="7" spans="1:173" ht="15" customHeight="1" thickTop="1" thickBot="1" x14ac:dyDescent="0.3">
      <c r="B7" s="19"/>
      <c r="C7" s="73" t="str">
        <f>C5&amp;".1"</f>
        <v>1.1</v>
      </c>
      <c r="D7" s="5" t="s">
        <v>808</v>
      </c>
      <c r="F7" s="124"/>
      <c r="G7" s="19"/>
      <c r="H7" s="12"/>
      <c r="I7" s="70"/>
      <c r="J7" s="186" t="str">
        <f>CONCATENATE($B$2,".",$C7,".")</f>
        <v>3.1.1.</v>
      </c>
      <c r="K7" s="1072" t="s">
        <v>538</v>
      </c>
      <c r="L7" s="1072"/>
      <c r="M7" s="1072"/>
      <c r="N7" s="1072"/>
      <c r="O7" s="1072"/>
      <c r="P7" s="1072"/>
      <c r="Q7" s="1072"/>
      <c r="R7" s="1072"/>
      <c r="S7" s="1072"/>
      <c r="T7" s="1072"/>
      <c r="U7" s="1072"/>
      <c r="V7" s="1072"/>
      <c r="W7" s="1072"/>
      <c r="X7" s="1072"/>
      <c r="Y7" s="1072"/>
      <c r="Z7" s="1072"/>
      <c r="AA7" s="1072"/>
      <c r="AB7" s="1072"/>
      <c r="AC7" s="19"/>
      <c r="AD7" s="679" t="s">
        <v>79</v>
      </c>
      <c r="AE7" s="679"/>
      <c r="AG7" s="19"/>
      <c r="AH7" s="19"/>
      <c r="AL7" s="1045" t="str">
        <f>texte_marge&amp;(Paramètres!E4*100)&amp;" %."</f>
        <v>Les données fournies par l'outil sont basées sur des moyennes québécoises. Il est donc normal qu'il y ait un écart entre vos données (si vous en avez saisi) et celles suggérées. L'écart de validation considéré comme acceptable est de 50 %.</v>
      </c>
      <c r="AM7" s="1046"/>
      <c r="AN7" s="1046"/>
      <c r="AO7" s="1046"/>
      <c r="AP7" s="1046"/>
      <c r="AQ7" s="1046"/>
      <c r="AR7" s="1046"/>
      <c r="AS7" s="1046"/>
      <c r="AT7" s="1046"/>
      <c r="AU7" s="1046"/>
      <c r="AV7" s="1046"/>
      <c r="AW7" s="1046"/>
      <c r="AX7" s="1046"/>
      <c r="AY7" s="1046"/>
      <c r="AZ7" s="1046"/>
      <c r="BA7" s="1046"/>
      <c r="BB7" s="1046"/>
      <c r="BC7" s="1047"/>
      <c r="BE7" s="19"/>
      <c r="BF7" s="638"/>
      <c r="BG7" s="1149"/>
      <c r="BH7" s="1149"/>
      <c r="BI7" s="1149"/>
      <c r="BJ7" s="1149"/>
      <c r="BK7" s="1149"/>
      <c r="BL7" s="1149"/>
      <c r="BM7" s="1149"/>
      <c r="BN7" s="1149"/>
      <c r="BO7" s="1149"/>
      <c r="BP7" s="1149"/>
      <c r="BQ7" s="1149"/>
      <c r="BR7" s="1149"/>
      <c r="BS7" s="1149"/>
      <c r="BT7" s="1149"/>
      <c r="BU7" s="1149"/>
      <c r="BV7" s="1149"/>
      <c r="BW7" s="1149"/>
      <c r="BX7" s="1149"/>
      <c r="BY7" s="1149"/>
      <c r="BZ7" s="1149"/>
      <c r="CA7" s="1149"/>
      <c r="CB7" s="1149"/>
      <c r="CC7" s="639"/>
      <c r="CD7" s="19"/>
      <c r="CE7" s="648"/>
      <c r="CF7" s="19"/>
      <c r="CG7" s="655" t="str">
        <f>CONCATENATE($B$2,".",$D7,".")</f>
        <v>3.1.1.1.</v>
      </c>
      <c r="CH7" s="652"/>
      <c r="CI7" s="1124" t="s">
        <v>809</v>
      </c>
      <c r="CJ7" s="1124"/>
      <c r="CK7" s="1124"/>
      <c r="CL7" s="1124"/>
      <c r="CM7" s="1124"/>
      <c r="CN7" s="1124"/>
      <c r="CO7" s="1124"/>
      <c r="CP7" s="1124"/>
      <c r="CQ7" s="1124"/>
      <c r="CR7" s="1124"/>
      <c r="CS7" s="1124"/>
      <c r="CT7" s="1124"/>
      <c r="CU7" s="652"/>
      <c r="CV7" s="759"/>
      <c r="CW7" s="759"/>
      <c r="CX7" s="759"/>
      <c r="CY7" s="643"/>
      <c r="CZ7" s="1059" t="s">
        <v>79</v>
      </c>
      <c r="DA7" s="1059"/>
      <c r="DB7" s="643"/>
      <c r="DC7" s="19"/>
      <c r="DD7" s="648"/>
      <c r="DE7" s="19"/>
      <c r="DF7" s="124"/>
      <c r="DN7" s="1057"/>
      <c r="DO7" s="1055"/>
      <c r="DP7" s="1055"/>
      <c r="DQ7" s="1055"/>
      <c r="DR7" s="1054"/>
      <c r="DS7" s="1055"/>
      <c r="DT7" s="1055"/>
      <c r="DU7" s="1054"/>
      <c r="DW7" s="1057"/>
      <c r="DX7" s="1055"/>
      <c r="DY7" s="1055"/>
      <c r="DZ7" s="1055"/>
      <c r="EA7" s="1054"/>
      <c r="EB7" s="1055"/>
      <c r="EC7" s="1055"/>
      <c r="ED7" s="1054"/>
      <c r="EK7" s="57"/>
      <c r="FH7" s="27"/>
    </row>
    <row r="8" spans="1:173" ht="15" customHeight="1" thickTop="1" thickBot="1" x14ac:dyDescent="0.3">
      <c r="F8" s="124"/>
      <c r="G8" s="19"/>
      <c r="H8" s="12"/>
      <c r="I8" s="70"/>
      <c r="J8" s="100"/>
      <c r="K8" s="100"/>
      <c r="L8" s="100"/>
      <c r="M8" s="100"/>
      <c r="N8" s="100"/>
      <c r="O8" s="100"/>
      <c r="P8" s="100"/>
      <c r="Q8" s="100"/>
      <c r="R8" s="100"/>
      <c r="S8" s="100"/>
      <c r="T8" s="100"/>
      <c r="U8" s="100"/>
      <c r="V8" s="100"/>
      <c r="W8" s="100"/>
      <c r="X8" s="100"/>
      <c r="AG8" s="19"/>
      <c r="AH8" s="19"/>
      <c r="AL8" s="1048"/>
      <c r="AM8" s="1049"/>
      <c r="AN8" s="1049"/>
      <c r="AO8" s="1049"/>
      <c r="AP8" s="1049"/>
      <c r="AQ8" s="1049"/>
      <c r="AR8" s="1049"/>
      <c r="AS8" s="1049"/>
      <c r="AT8" s="1049"/>
      <c r="AU8" s="1049"/>
      <c r="AV8" s="1049"/>
      <c r="AW8" s="1049"/>
      <c r="AX8" s="1049"/>
      <c r="AY8" s="1049"/>
      <c r="AZ8" s="1049"/>
      <c r="BA8" s="1049"/>
      <c r="BB8" s="1049"/>
      <c r="BC8" s="1050"/>
      <c r="BE8" s="19"/>
      <c r="BF8" s="638"/>
      <c r="BG8" s="643"/>
      <c r="BH8" s="643"/>
      <c r="BI8" s="643"/>
      <c r="BJ8" s="643"/>
      <c r="BK8" s="643"/>
      <c r="BL8" s="643"/>
      <c r="BM8" s="643"/>
      <c r="BN8" s="643"/>
      <c r="BO8" s="643"/>
      <c r="BP8" s="643"/>
      <c r="BQ8" s="643"/>
      <c r="BR8" s="643"/>
      <c r="BS8" s="643"/>
      <c r="BT8" s="643"/>
      <c r="BU8" s="643"/>
      <c r="BV8" s="643"/>
      <c r="BW8" s="643"/>
      <c r="BX8" s="643"/>
      <c r="BY8" s="643"/>
      <c r="BZ8" s="643"/>
      <c r="CA8" s="643"/>
      <c r="CB8" s="643"/>
      <c r="CC8" s="639"/>
      <c r="CE8" s="648"/>
      <c r="CG8" s="652"/>
      <c r="CH8" s="652"/>
      <c r="CI8" s="1124"/>
      <c r="CJ8" s="1124"/>
      <c r="CK8" s="1124"/>
      <c r="CL8" s="1124"/>
      <c r="CM8" s="1124"/>
      <c r="CN8" s="1124"/>
      <c r="CO8" s="1124"/>
      <c r="CP8" s="1124"/>
      <c r="CQ8" s="1124"/>
      <c r="CR8" s="1124"/>
      <c r="CS8" s="1124"/>
      <c r="CT8" s="1124"/>
      <c r="CU8" s="652"/>
      <c r="CY8" s="643"/>
      <c r="CZ8" s="643"/>
      <c r="DA8" s="643"/>
      <c r="DB8" s="643"/>
      <c r="DD8" s="648"/>
      <c r="DE8" s="19"/>
      <c r="DF8" s="124"/>
      <c r="DN8" s="1057"/>
      <c r="DO8" s="1055"/>
      <c r="DP8" s="1055"/>
      <c r="DQ8" s="1055"/>
      <c r="DR8" s="1054"/>
      <c r="DS8" s="1055"/>
      <c r="DT8" s="1055"/>
      <c r="DU8" s="1054"/>
      <c r="DW8" s="1057"/>
      <c r="DX8" s="1055"/>
      <c r="DY8" s="1055"/>
      <c r="DZ8" s="1055"/>
      <c r="EA8" s="1054"/>
      <c r="EB8" s="1055"/>
      <c r="EC8" s="1055"/>
      <c r="ED8" s="1054"/>
      <c r="EK8" s="57"/>
      <c r="EL8" s="834" t="s">
        <v>501</v>
      </c>
      <c r="EM8" s="835"/>
      <c r="EN8" s="835"/>
      <c r="EO8" s="835"/>
      <c r="EP8" s="835"/>
      <c r="EQ8" s="835"/>
      <c r="ER8" s="835"/>
      <c r="ES8" s="835"/>
      <c r="ET8" s="835"/>
      <c r="EU8" s="835"/>
      <c r="EV8" s="835"/>
      <c r="EW8" s="835"/>
      <c r="EX8" s="835"/>
      <c r="EY8" s="835"/>
      <c r="EZ8" s="835"/>
      <c r="FA8" s="835"/>
      <c r="FB8" s="835"/>
      <c r="FC8" s="835"/>
      <c r="FD8" s="835"/>
      <c r="FE8" s="835"/>
      <c r="FF8" s="835"/>
      <c r="FG8" s="836"/>
      <c r="FH8" s="27"/>
    </row>
    <row r="9" spans="1:173" ht="15" customHeight="1" x14ac:dyDescent="0.25">
      <c r="F9" s="124"/>
      <c r="G9" s="19"/>
      <c r="H9" s="12"/>
      <c r="I9" s="70"/>
      <c r="J9" s="100"/>
      <c r="K9" s="100"/>
      <c r="L9" s="100"/>
      <c r="M9" s="100"/>
      <c r="N9" s="100"/>
      <c r="O9" s="100"/>
      <c r="P9" s="100"/>
      <c r="Q9" s="100"/>
      <c r="R9" s="100"/>
      <c r="S9" s="100"/>
      <c r="T9" s="100"/>
      <c r="U9" s="100"/>
      <c r="V9" s="100"/>
      <c r="W9" s="100"/>
      <c r="X9" s="1001" t="s">
        <v>613</v>
      </c>
      <c r="Y9" s="1001"/>
      <c r="Z9" s="1001"/>
      <c r="AA9" s="1001"/>
      <c r="AB9" s="1001"/>
      <c r="AC9" s="1001"/>
      <c r="AD9" s="1001"/>
      <c r="AE9" s="1001"/>
      <c r="AF9" s="19"/>
      <c r="AG9" s="19"/>
      <c r="AH9" s="19"/>
      <c r="AL9" s="1048"/>
      <c r="AM9" s="1049"/>
      <c r="AN9" s="1049"/>
      <c r="AO9" s="1049"/>
      <c r="AP9" s="1049"/>
      <c r="AQ9" s="1049"/>
      <c r="AR9" s="1049"/>
      <c r="AS9" s="1049"/>
      <c r="AT9" s="1049"/>
      <c r="AU9" s="1049"/>
      <c r="AV9" s="1049"/>
      <c r="AW9" s="1049"/>
      <c r="AX9" s="1049"/>
      <c r="AY9" s="1049"/>
      <c r="AZ9" s="1049"/>
      <c r="BA9" s="1049"/>
      <c r="BB9" s="1049"/>
      <c r="BC9" s="1050"/>
      <c r="BE9" s="19"/>
      <c r="BF9" s="638"/>
      <c r="BG9" s="1153" t="s">
        <v>800</v>
      </c>
      <c r="BH9" s="1153"/>
      <c r="BI9" s="1153"/>
      <c r="BJ9" s="1153"/>
      <c r="BK9" s="1153"/>
      <c r="BL9" s="1153"/>
      <c r="BM9" s="1147">
        <f>gen_pop_RA</f>
        <v>0</v>
      </c>
      <c r="BN9" s="1147"/>
      <c r="BO9" s="1147"/>
      <c r="BP9" s="1147"/>
      <c r="BQ9" s="1147"/>
      <c r="BR9" s="26"/>
      <c r="BS9" s="721" t="s">
        <v>801</v>
      </c>
      <c r="BT9" s="721"/>
      <c r="BU9" s="721"/>
      <c r="BV9" s="721"/>
      <c r="BW9" s="721"/>
      <c r="BX9" s="721"/>
      <c r="BY9" s="1147">
        <f>gen_pop_MRC</f>
        <v>0</v>
      </c>
      <c r="BZ9" s="1147"/>
      <c r="CA9" s="1147"/>
      <c r="CB9" s="1147"/>
      <c r="CC9" s="639"/>
      <c r="CE9" s="648"/>
      <c r="CH9" s="656"/>
      <c r="CI9" s="1124"/>
      <c r="CJ9" s="1124"/>
      <c r="CK9" s="1124"/>
      <c r="CL9" s="1124"/>
      <c r="CM9" s="1124"/>
      <c r="CN9" s="1124"/>
      <c r="CO9" s="1124"/>
      <c r="CP9" s="1124"/>
      <c r="CQ9" s="1124"/>
      <c r="CR9" s="1124"/>
      <c r="CS9" s="1124"/>
      <c r="CT9" s="1124"/>
      <c r="CU9" s="656"/>
      <c r="CV9" s="656"/>
      <c r="CW9" s="656"/>
      <c r="CX9" s="656"/>
      <c r="CY9" s="656"/>
      <c r="CZ9" s="656"/>
      <c r="DA9" s="656"/>
      <c r="DB9" s="656"/>
      <c r="DC9" s="656"/>
      <c r="DD9" s="648"/>
      <c r="DE9" s="19"/>
      <c r="DF9" s="124"/>
      <c r="DN9" s="1057"/>
      <c r="DO9" s="1055"/>
      <c r="DP9" s="1055"/>
      <c r="DQ9" s="1055"/>
      <c r="DR9" s="1054"/>
      <c r="DS9" s="1055"/>
      <c r="DT9" s="1055"/>
      <c r="DU9" s="1054"/>
      <c r="DW9" s="1057"/>
      <c r="DX9" s="1055"/>
      <c r="DY9" s="1055"/>
      <c r="DZ9" s="1055"/>
      <c r="EA9" s="1054"/>
      <c r="EB9" s="1055"/>
      <c r="EC9" s="1055"/>
      <c r="ED9" s="1054"/>
      <c r="EK9" s="57"/>
      <c r="FH9" s="27"/>
    </row>
    <row r="10" spans="1:173" ht="15" customHeight="1" thickBot="1" x14ac:dyDescent="0.3">
      <c r="A10" s="5" t="s">
        <v>435</v>
      </c>
      <c r="D10" s="72" t="s">
        <v>433</v>
      </c>
      <c r="F10" s="124"/>
      <c r="G10" s="19"/>
      <c r="H10" s="19"/>
      <c r="I10" s="1058" t="s">
        <v>384</v>
      </c>
      <c r="J10" s="1058"/>
      <c r="K10" s="1058"/>
      <c r="L10" s="1058"/>
      <c r="M10" s="1058"/>
      <c r="N10" s="1058"/>
      <c r="O10" s="1058"/>
      <c r="P10" s="1058"/>
      <c r="Q10" s="1058"/>
      <c r="R10" s="1058"/>
      <c r="S10" s="1058"/>
      <c r="T10" s="1058"/>
      <c r="U10" s="1058"/>
      <c r="V10" s="1058"/>
      <c r="W10" s="1058"/>
      <c r="X10" s="1058"/>
      <c r="Y10" s="1073"/>
      <c r="Z10" s="1073"/>
      <c r="AA10" s="1073"/>
      <c r="AB10" s="1073"/>
      <c r="AC10" s="1073"/>
      <c r="AD10" s="1073"/>
      <c r="AE10" s="19"/>
      <c r="AF10" s="19"/>
      <c r="AL10" s="1051"/>
      <c r="AM10" s="1052"/>
      <c r="AN10" s="1052"/>
      <c r="AO10" s="1052"/>
      <c r="AP10" s="1052"/>
      <c r="AQ10" s="1052"/>
      <c r="AR10" s="1052"/>
      <c r="AS10" s="1052"/>
      <c r="AT10" s="1052"/>
      <c r="AU10" s="1052"/>
      <c r="AV10" s="1052"/>
      <c r="AW10" s="1052"/>
      <c r="AX10" s="1052"/>
      <c r="AY10" s="1052"/>
      <c r="AZ10" s="1052"/>
      <c r="BA10" s="1052"/>
      <c r="BB10" s="1052"/>
      <c r="BC10" s="1053"/>
      <c r="BD10" s="19"/>
      <c r="BE10" s="19"/>
      <c r="BF10" s="638"/>
      <c r="BG10" s="1151" t="s">
        <v>802</v>
      </c>
      <c r="BH10" s="1151"/>
      <c r="BI10" s="1151"/>
      <c r="BJ10" s="1151"/>
      <c r="BK10" s="1151"/>
      <c r="BL10" s="1151"/>
      <c r="BM10" s="1152">
        <f>ICI_emp_RA</f>
        <v>0</v>
      </c>
      <c r="BN10" s="1152"/>
      <c r="BO10" s="1152"/>
      <c r="BP10" s="1152"/>
      <c r="BQ10" s="1152"/>
      <c r="BR10" s="53"/>
      <c r="BS10" s="1154" t="s">
        <v>803</v>
      </c>
      <c r="BT10" s="1154"/>
      <c r="BU10" s="1154"/>
      <c r="BV10" s="1154"/>
      <c r="BW10" s="1154"/>
      <c r="BX10" s="1154"/>
      <c r="BY10" s="1150">
        <f>IF(BM9=0,0,BY9/BM9)</f>
        <v>0</v>
      </c>
      <c r="BZ10" s="1150"/>
      <c r="CA10" s="1150"/>
      <c r="CB10" s="1150"/>
      <c r="CC10" s="639"/>
      <c r="CE10" s="636"/>
      <c r="CG10" s="1157" t="s">
        <v>810</v>
      </c>
      <c r="CH10" s="1157"/>
      <c r="CI10" s="1157"/>
      <c r="CJ10" s="1157"/>
      <c r="CK10" s="1157"/>
      <c r="CL10" s="1157"/>
      <c r="CM10" s="1157"/>
      <c r="CN10" s="1157"/>
      <c r="CO10" s="1157"/>
      <c r="CP10" s="1157"/>
      <c r="CQ10" s="1157"/>
      <c r="CR10" s="1157"/>
      <c r="CS10" s="1157"/>
      <c r="CT10" s="1157"/>
      <c r="CU10" s="1157"/>
      <c r="CV10" s="1157"/>
      <c r="CW10" s="1157"/>
      <c r="CX10" s="1157"/>
      <c r="CY10" s="1157"/>
      <c r="CZ10" s="1157"/>
      <c r="DA10" s="1157"/>
      <c r="DB10" s="1157"/>
      <c r="DC10" s="656"/>
      <c r="DD10" s="636"/>
      <c r="DF10" s="124"/>
      <c r="DK10" s="990" t="s">
        <v>276</v>
      </c>
      <c r="DL10" s="990"/>
      <c r="DM10" s="990"/>
      <c r="DN10" s="57">
        <f>SUM(DN12:DN28)</f>
        <v>0</v>
      </c>
      <c r="DO10" s="5">
        <f>SUM(DO12:DO28)</f>
        <v>0</v>
      </c>
      <c r="DP10" s="5">
        <f>SUM(DP12:DP28)</f>
        <v>0</v>
      </c>
      <c r="DQ10" s="5">
        <f>SUM(DQ12:DQ28)</f>
        <v>0</v>
      </c>
      <c r="DR10" s="27">
        <f>SUM(DS10:DU10)</f>
        <v>0</v>
      </c>
      <c r="DS10" s="5">
        <f>SUM(DS12:DS28)</f>
        <v>0</v>
      </c>
      <c r="DT10" s="5">
        <f>SUM(DT12:DT28)</f>
        <v>0</v>
      </c>
      <c r="DU10" s="27">
        <f>SUM(DU12:DU28)</f>
        <v>0</v>
      </c>
      <c r="DW10" s="57">
        <f>SUM(DW12:DW28)</f>
        <v>0</v>
      </c>
      <c r="DX10" s="5">
        <f>SUM(DX12:DX28)</f>
        <v>0</v>
      </c>
      <c r="DY10" s="5">
        <f>SUM(DY12:DY28)</f>
        <v>0</v>
      </c>
      <c r="DZ10" s="5">
        <f>SUM(DZ12:DZ28)</f>
        <v>0</v>
      </c>
      <c r="EA10" s="27">
        <f>SUM(EB10:ED10)</f>
        <v>0</v>
      </c>
      <c r="EB10" s="5">
        <f>SUM(EB12:EB28)</f>
        <v>0</v>
      </c>
      <c r="EC10" s="5">
        <f>SUM(EC12:EC28)</f>
        <v>0</v>
      </c>
      <c r="ED10" s="27">
        <f>SUM(ED12:ED28)</f>
        <v>0</v>
      </c>
      <c r="EK10" s="57"/>
      <c r="EL10" s="26"/>
      <c r="ET10" s="1001" t="s">
        <v>285</v>
      </c>
      <c r="EU10" s="1001"/>
      <c r="EV10" s="1001"/>
      <c r="EW10" s="1001"/>
      <c r="EY10" s="1001" t="s">
        <v>286</v>
      </c>
      <c r="EZ10" s="1001"/>
      <c r="FA10" s="1001"/>
      <c r="FB10" s="1001"/>
      <c r="FD10" s="1001" t="s">
        <v>287</v>
      </c>
      <c r="FE10" s="1001"/>
      <c r="FF10" s="1001"/>
      <c r="FG10" s="1001"/>
      <c r="FH10" s="27"/>
      <c r="FK10" s="699" t="s">
        <v>13</v>
      </c>
      <c r="FL10" s="699"/>
      <c r="FM10" s="699"/>
      <c r="FN10" s="699"/>
      <c r="FO10" s="699"/>
      <c r="FP10" s="699"/>
    </row>
    <row r="11" spans="1:173" ht="24.75" customHeight="1" x14ac:dyDescent="0.25">
      <c r="F11" s="124"/>
      <c r="H11" s="19"/>
      <c r="I11" s="701" t="s">
        <v>366</v>
      </c>
      <c r="J11" s="701"/>
      <c r="K11" s="701"/>
      <c r="L11" s="701"/>
      <c r="M11" s="701"/>
      <c r="N11" s="701"/>
      <c r="O11" s="701"/>
      <c r="P11" s="701"/>
      <c r="Q11" s="701"/>
      <c r="R11" s="701"/>
      <c r="S11" s="701"/>
      <c r="T11" s="701"/>
      <c r="U11" s="701"/>
      <c r="V11" s="701"/>
      <c r="W11" s="701"/>
      <c r="X11" s="701"/>
      <c r="Y11" s="1074"/>
      <c r="Z11" s="1074"/>
      <c r="AA11" s="1074"/>
      <c r="AB11" s="1074"/>
      <c r="AC11" s="1074"/>
      <c r="AD11" s="1074"/>
      <c r="AF11" s="19"/>
      <c r="BF11" s="638"/>
      <c r="BG11" s="1151"/>
      <c r="BH11" s="1151"/>
      <c r="BI11" s="1151"/>
      <c r="BJ11" s="1151"/>
      <c r="BK11" s="1151"/>
      <c r="BL11" s="1151"/>
      <c r="BM11" s="646"/>
      <c r="BN11" s="646"/>
      <c r="BO11" s="646"/>
      <c r="BP11" s="646"/>
      <c r="BQ11" s="53"/>
      <c r="BR11" s="53"/>
      <c r="BS11" s="45"/>
      <c r="BT11" s="45"/>
      <c r="BU11" s="45"/>
      <c r="BV11" s="45"/>
      <c r="BW11" s="45"/>
      <c r="BX11" s="45"/>
      <c r="BY11" s="45"/>
      <c r="BZ11" s="45"/>
      <c r="CA11" s="45"/>
      <c r="CC11" s="639"/>
      <c r="CE11" s="636"/>
      <c r="CG11" s="1157"/>
      <c r="CH11" s="1157"/>
      <c r="CI11" s="1157"/>
      <c r="CJ11" s="1157"/>
      <c r="CK11" s="1157"/>
      <c r="CL11" s="1157"/>
      <c r="CM11" s="1157"/>
      <c r="CN11" s="1157"/>
      <c r="CO11" s="1157"/>
      <c r="CP11" s="1157"/>
      <c r="CQ11" s="1157"/>
      <c r="CR11" s="1157"/>
      <c r="CS11" s="1157"/>
      <c r="CT11" s="1157"/>
      <c r="CU11" s="1157"/>
      <c r="CV11" s="1157"/>
      <c r="CW11" s="1157"/>
      <c r="CX11" s="1157"/>
      <c r="CY11" s="1157"/>
      <c r="CZ11" s="1157"/>
      <c r="DA11" s="1157"/>
      <c r="DB11" s="1157"/>
      <c r="DC11" s="656"/>
      <c r="DD11" s="636"/>
      <c r="DF11" s="124"/>
      <c r="DN11" s="57"/>
      <c r="DR11" s="27"/>
      <c r="DU11" s="27"/>
      <c r="DW11" s="57"/>
      <c r="EA11" s="27"/>
      <c r="ED11" s="27"/>
      <c r="EK11" s="57"/>
      <c r="EL11" s="701" t="s">
        <v>385</v>
      </c>
      <c r="EM11" s="701"/>
      <c r="EN11" s="701"/>
      <c r="EO11" s="701"/>
      <c r="EP11" s="701"/>
      <c r="EQ11" s="701"/>
      <c r="ER11" s="701"/>
      <c r="ES11" s="701"/>
      <c r="ET11" s="1116" t="str">
        <f>IF($FK$11="non",0,IF(OR($FK$11="",$FK$14=""),N.D.,$FK$14*Paramètres!F80/1000))</f>
        <v>N.D.</v>
      </c>
      <c r="EU11" s="1116"/>
      <c r="EV11" s="1116"/>
      <c r="EW11" s="1116"/>
      <c r="EX11" s="105"/>
      <c r="EY11" s="1116" t="str">
        <f>IF($FK$11="non",0,IF(OR($FK$11="",$FK$14=""),N.D.,$FK$14*Paramètres!E80/1000))</f>
        <v>N.D.</v>
      </c>
      <c r="EZ11" s="1116"/>
      <c r="FA11" s="1116"/>
      <c r="FB11" s="1116"/>
      <c r="FC11" s="105"/>
      <c r="FD11" s="1116" t="str">
        <f>IF(ET11=N.D.,N.D.,SUM(ET11,EY11))</f>
        <v>N.D.</v>
      </c>
      <c r="FE11" s="1116"/>
      <c r="FF11" s="1116"/>
      <c r="FG11" s="1116"/>
      <c r="FH11" s="27"/>
      <c r="FK11" s="1041" t="str">
        <f>IF('Données - Résidentiel'!AF30="","",'Données - Résidentiel'!AF30)</f>
        <v/>
      </c>
      <c r="FL11" s="1042"/>
      <c r="FM11" s="1042"/>
      <c r="FN11" s="1042"/>
      <c r="FO11" s="1042"/>
      <c r="FP11" s="1042"/>
    </row>
    <row r="12" spans="1:173" ht="15" customHeight="1" thickBot="1" x14ac:dyDescent="0.3">
      <c r="D12" s="5" t="s">
        <v>423</v>
      </c>
      <c r="F12" s="124"/>
      <c r="H12" s="19"/>
      <c r="I12" s="16" t="str">
        <f>puce1</f>
        <v>Ä</v>
      </c>
      <c r="J12" s="771" t="s">
        <v>367</v>
      </c>
      <c r="K12" s="771"/>
      <c r="L12" s="771"/>
      <c r="M12" s="771"/>
      <c r="N12" s="771"/>
      <c r="O12" s="771"/>
      <c r="P12" s="771"/>
      <c r="Q12" s="771"/>
      <c r="R12" s="771"/>
      <c r="S12" s="771"/>
      <c r="T12" s="771"/>
      <c r="U12" s="771"/>
      <c r="V12" s="771"/>
      <c r="W12" s="771"/>
      <c r="X12" s="771"/>
      <c r="Y12" s="1044"/>
      <c r="Z12" s="1044"/>
      <c r="AA12" s="1044"/>
      <c r="AB12" s="1044"/>
      <c r="AC12" s="1044"/>
      <c r="AD12" s="1044"/>
      <c r="AE12" s="19"/>
      <c r="AF12" s="19"/>
      <c r="BF12" s="638"/>
      <c r="BH12" s="100"/>
      <c r="BI12" s="100"/>
      <c r="BJ12" s="100"/>
      <c r="BK12" s="100"/>
      <c r="BL12" s="100"/>
      <c r="BM12" s="100"/>
      <c r="BN12" s="100"/>
      <c r="BO12" s="100"/>
      <c r="BP12" s="100"/>
      <c r="BQ12" s="100"/>
      <c r="BR12" s="100"/>
      <c r="BS12" s="100"/>
      <c r="BT12" s="100"/>
      <c r="BU12" s="100"/>
      <c r="BV12" s="100"/>
      <c r="BW12" s="1155" t="s">
        <v>613</v>
      </c>
      <c r="BX12" s="1155"/>
      <c r="BY12" s="1155"/>
      <c r="BZ12" s="1155"/>
      <c r="CA12" s="1155"/>
      <c r="CB12" s="1155"/>
      <c r="CC12" s="639"/>
      <c r="CE12" s="636"/>
      <c r="CH12" s="100"/>
      <c r="CI12" s="100"/>
      <c r="CJ12" s="100"/>
      <c r="CK12" s="100"/>
      <c r="CL12" s="100"/>
      <c r="CM12" s="100"/>
      <c r="CN12" s="100"/>
      <c r="CO12" s="100"/>
      <c r="CP12" s="100"/>
      <c r="CQ12" s="100"/>
      <c r="CR12" s="100"/>
      <c r="CS12" s="100"/>
      <c r="CT12" s="100"/>
      <c r="CU12" s="100"/>
      <c r="CV12" s="100"/>
      <c r="CW12" s="1155" t="s">
        <v>613</v>
      </c>
      <c r="CX12" s="1155"/>
      <c r="CY12" s="1155"/>
      <c r="CZ12" s="1155"/>
      <c r="DA12" s="1155"/>
      <c r="DB12" s="1155"/>
      <c r="DD12" s="636"/>
      <c r="DF12" s="124"/>
      <c r="DK12" s="5" t="str">
        <f t="shared" ref="DK12:DK28" si="0">D12</f>
        <v>AGR</v>
      </c>
      <c r="DN12" s="57">
        <f>IF(AND(ICI_emp_MRC_choix="Oui",CW15&lt;&gt;""),CW15*Paramètres!E$107,$BW$15*Paramètres!E$107)</f>
        <v>0</v>
      </c>
      <c r="DO12" s="5">
        <f>IF(AND(ICI_emp_MRC_choix="Oui",CW15&lt;&gt;""),CW15*Paramètres!E$108,$BW$15*Paramètres!E$108)</f>
        <v>0</v>
      </c>
      <c r="DP12" s="5">
        <f>IF(AND(ICI_emp_MRC_choix="Oui",CW15&lt;&gt;""),CW15*Paramètres!E$109,$BW$15*Paramètres!E$109)</f>
        <v>0</v>
      </c>
      <c r="DQ12" s="5">
        <f>IF(AND(ICI_emp_MRC_choix="Oui",CW15&lt;&gt;""),CW15*Paramètres!E$110,$BW$15*Paramètres!E$110)</f>
        <v>0</v>
      </c>
      <c r="DR12" s="27"/>
      <c r="DS12" s="5">
        <f>IF(AND(ICI_emp_MRC_choix="Oui",CW15&lt;&gt;""),CW15*Paramètres!E$112,$BW$15*Paramètres!E$112)</f>
        <v>0</v>
      </c>
      <c r="DT12" s="5">
        <f>IF(AND(ICI_emp_MRC_choix="Oui",CW15&lt;&gt;""),CW15*Paramètres!E$113,$BW$15*Paramètres!E$113)</f>
        <v>0</v>
      </c>
      <c r="DU12" s="27">
        <f>IF(AND(ICI_emp_MRC_choix="Oui",CW15&lt;&gt;""),CW15*Paramètres!E$114,$BW$15*Paramètres!E$114)</f>
        <v>0</v>
      </c>
      <c r="DW12" s="57">
        <f>IF(AND(ICI_emp_MRC_choix="Oui",CW15&lt;&gt;""),CW15*Paramètres!E$97,$BW$15*Paramètres!E$97)</f>
        <v>0</v>
      </c>
      <c r="DX12" s="5">
        <f>IF(AND(ICI_emp_MRC_choix="Oui",CW15&lt;&gt;""),CW15*Paramètres!E$98,$BW$15*Paramètres!E$98)</f>
        <v>0</v>
      </c>
      <c r="DY12" s="5">
        <f>IF(AND(ICI_emp_MRC_choix="Oui",CW15&lt;&gt;""),CW15*Paramètres!E$99,$BW$15*Paramètres!E$99)</f>
        <v>0</v>
      </c>
      <c r="DZ12" s="5">
        <f>IF(AND(ICI_emp_MRC_choix="Oui",CW15&lt;&gt;""),CW15*Paramètres!E$100,$BW$15*Paramètres!E$100)</f>
        <v>0</v>
      </c>
      <c r="EA12" s="27"/>
      <c r="EB12" s="328">
        <f>IF(AND(ICI_emp_MRC_choix="Oui",CW15&lt;&gt;""),CW15*Paramètres!E$102,$BW$15*Paramètres!E$102)</f>
        <v>0</v>
      </c>
      <c r="EC12" s="5">
        <f>IF(AND(ICI_emp_MRC_choix="Oui",CW15&lt;&gt;""),CW15*Paramètres!E$103,$BW$15*Paramètres!E$103)</f>
        <v>0</v>
      </c>
      <c r="ED12" s="27">
        <f>IF(AND(ICI_emp_MRC_choix="Oui",CW15&lt;&gt;""),CW15*Paramètres!E$104,$BW$15*Paramètres!E$104)</f>
        <v>0</v>
      </c>
      <c r="EK12" s="57"/>
      <c r="EL12" s="691" t="s">
        <v>387</v>
      </c>
      <c r="EM12" s="691"/>
      <c r="EN12" s="691"/>
      <c r="EO12" s="691"/>
      <c r="EP12" s="691"/>
      <c r="EQ12" s="691"/>
      <c r="ER12" s="691"/>
      <c r="ES12" s="691"/>
      <c r="ET12" s="1116" t="str">
        <f>IF($FK$11="non",0,IF(OR($FK$11="",$FK$14=""),N.D.,$FK$14*Paramètres!F82/1000))</f>
        <v>N.D.</v>
      </c>
      <c r="EU12" s="1116"/>
      <c r="EV12" s="1116"/>
      <c r="EW12" s="1116"/>
      <c r="EX12" s="105"/>
      <c r="EY12" s="1116" t="str">
        <f>IF($FK$11="non",0,IF(OR($FK$11="",$FK$14=""),N.D.,$FK$14*Paramètres!E82/1000))</f>
        <v>N.D.</v>
      </c>
      <c r="EZ12" s="1116"/>
      <c r="FA12" s="1116"/>
      <c r="FB12" s="1116"/>
      <c r="FC12" s="105"/>
      <c r="FD12" s="1116" t="str">
        <f>IF(ET12=N.D.,N.D.,SUM(ET12,EY12))</f>
        <v>N.D.</v>
      </c>
      <c r="FE12" s="1116"/>
      <c r="FF12" s="1116"/>
      <c r="FG12" s="1116"/>
      <c r="FH12" s="27"/>
    </row>
    <row r="13" spans="1:173" ht="31.5" customHeight="1" x14ac:dyDescent="0.25">
      <c r="D13" s="5" t="s">
        <v>424</v>
      </c>
      <c r="F13" s="124"/>
      <c r="I13" s="101" t="str">
        <f>puce1</f>
        <v>Ä</v>
      </c>
      <c r="J13" s="771" t="s">
        <v>368</v>
      </c>
      <c r="K13" s="771"/>
      <c r="L13" s="771"/>
      <c r="M13" s="771"/>
      <c r="N13" s="771"/>
      <c r="O13" s="771"/>
      <c r="P13" s="771"/>
      <c r="Q13" s="771"/>
      <c r="R13" s="771"/>
      <c r="S13" s="771"/>
      <c r="T13" s="771"/>
      <c r="U13" s="771"/>
      <c r="V13" s="771"/>
      <c r="W13" s="771"/>
      <c r="X13" s="771"/>
      <c r="Y13" s="1044"/>
      <c r="Z13" s="1044"/>
      <c r="AA13" s="1044"/>
      <c r="AB13" s="1044"/>
      <c r="AC13" s="1044"/>
      <c r="AD13" s="1044"/>
      <c r="AG13" s="637"/>
      <c r="AH13" s="637"/>
      <c r="AI13" s="637"/>
      <c r="AJ13" s="637"/>
      <c r="AK13" s="637"/>
      <c r="AL13" s="637"/>
      <c r="AM13" s="1138" t="s">
        <v>776</v>
      </c>
      <c r="AN13" s="1139"/>
      <c r="AO13" s="1139"/>
      <c r="AP13" s="1139"/>
      <c r="AQ13" s="1139"/>
      <c r="AR13" s="1139"/>
      <c r="AS13" s="1139"/>
      <c r="AT13" s="1139"/>
      <c r="AU13" s="1139"/>
      <c r="AV13" s="1139"/>
      <c r="AW13" s="1139"/>
      <c r="AX13" s="1139"/>
      <c r="AY13" s="1139"/>
      <c r="AZ13" s="1139"/>
      <c r="BA13" s="1140"/>
      <c r="BF13" s="638"/>
      <c r="BG13" s="1058" t="s">
        <v>434</v>
      </c>
      <c r="BH13" s="1058"/>
      <c r="BI13" s="1058"/>
      <c r="BJ13" s="1058"/>
      <c r="BK13" s="1058"/>
      <c r="BL13" s="1058"/>
      <c r="BM13" s="1058"/>
      <c r="BN13" s="1058"/>
      <c r="BO13" s="1058"/>
      <c r="BP13" s="1058"/>
      <c r="BQ13" s="1058"/>
      <c r="BR13" s="1058"/>
      <c r="BS13" s="1058"/>
      <c r="BT13" s="1058"/>
      <c r="BU13" s="1058"/>
      <c r="BV13" s="1058"/>
      <c r="BW13" s="1152">
        <f t="shared" ref="BW13:BW31" si="1">SUM(Y10)*ici_facteur_emp_MRC</f>
        <v>0</v>
      </c>
      <c r="BX13" s="1152"/>
      <c r="BY13" s="1152"/>
      <c r="BZ13" s="1152"/>
      <c r="CA13" s="1152"/>
      <c r="CB13" s="647"/>
      <c r="CC13" s="639"/>
      <c r="CE13" s="636"/>
      <c r="CG13" s="1058" t="s">
        <v>434</v>
      </c>
      <c r="CH13" s="1058"/>
      <c r="CI13" s="1058"/>
      <c r="CJ13" s="1058"/>
      <c r="CK13" s="1058"/>
      <c r="CL13" s="1058"/>
      <c r="CM13" s="1058"/>
      <c r="CN13" s="1058"/>
      <c r="CO13" s="1058"/>
      <c r="CP13" s="1058"/>
      <c r="CQ13" s="1058"/>
      <c r="CR13" s="1058"/>
      <c r="CS13" s="1058"/>
      <c r="CT13" s="1058"/>
      <c r="CU13" s="1058"/>
      <c r="CV13" s="1058"/>
      <c r="CW13" s="1158"/>
      <c r="CX13" s="1158"/>
      <c r="CY13" s="1158"/>
      <c r="CZ13" s="1158"/>
      <c r="DA13" s="1158"/>
      <c r="DB13" s="1158"/>
      <c r="DD13" s="636"/>
      <c r="DF13" s="124"/>
      <c r="DK13" s="5" t="str">
        <f t="shared" si="0"/>
        <v>FOR</v>
      </c>
      <c r="DN13" s="57">
        <f>IF(AND(ICI_emp_MRC_choix="Oui",CW16&lt;&gt;""),CW16*Paramètres!F$107,$BW$16*Paramètres!F$107)</f>
        <v>0</v>
      </c>
      <c r="DO13" s="5">
        <f>IF(AND(ICI_emp_MRC_choix="Oui",CW16&lt;&gt;""),CW16*Paramètres!F$108,$BW$16*Paramètres!F$108)</f>
        <v>0</v>
      </c>
      <c r="DP13" s="5">
        <f>IF(AND(ICI_emp_MRC_choix="Oui",CW16&lt;&gt;""),CW16*Paramètres!F$109,$BW$16*Paramètres!F$109)</f>
        <v>0</v>
      </c>
      <c r="DQ13" s="5">
        <f>IF(AND(ICI_emp_MRC_choix="Oui",CW16&lt;&gt;""),CW16*Paramètres!F$110,$BW$16*Paramètres!F$110)</f>
        <v>0</v>
      </c>
      <c r="DR13" s="27"/>
      <c r="DS13" s="5">
        <f>IF(AND(ICI_emp_MRC_choix="Oui",CW16&lt;&gt;""),CW16*Paramètres!F$112,$BW$16*Paramètres!F$112)</f>
        <v>0</v>
      </c>
      <c r="DT13" s="5">
        <f>IF(AND(ICI_emp_MRC_choix="Oui",CW16&lt;&gt;""),CW16*Paramètres!F$113,$BW$16*Paramètres!F$113)</f>
        <v>0</v>
      </c>
      <c r="DU13" s="27">
        <f>IF(AND(ICI_emp_MRC_choix="Oui",CW16&lt;&gt;""),CW16*Paramètres!F$114,$BW$16*Paramètres!F$114)</f>
        <v>0</v>
      </c>
      <c r="DW13" s="57">
        <f>IF(AND(ICI_emp_MRC_choix="Oui",CW16&lt;&gt;""),CW16*Paramètres!F$97,$BW$16*Paramètres!F$97)</f>
        <v>0</v>
      </c>
      <c r="DX13" s="5">
        <f>IF(AND(ICI_emp_MRC_choix="Oui",CW16&lt;&gt;""),CW16*Paramètres!F$98,$BW$16*Paramètres!F$98)</f>
        <v>0</v>
      </c>
      <c r="DY13" s="5">
        <f>IF(AND(ICI_emp_MRC_choix="Oui",CW16&lt;&gt;""),CW16*Paramètres!F$99,$BW$16*Paramètres!F$99)</f>
        <v>0</v>
      </c>
      <c r="DZ13" s="5">
        <f>IF(AND(ICI_emp_MRC_choix="Oui",CW16&lt;&gt;""),CW16*Paramètres!F$100,$BW$16*Paramètres!F$100)</f>
        <v>0</v>
      </c>
      <c r="EA13" s="27"/>
      <c r="EB13" s="5">
        <f>IF(AND(ICI_emp_MRC_choix="Oui",CW16&lt;&gt;""),CW16*Paramètres!F$102,$BW$16*Paramètres!F$102)</f>
        <v>0</v>
      </c>
      <c r="EC13" s="5">
        <f>IF(AND(ICI_emp_MRC_choix="Oui",CW16&lt;&gt;""),CW16*Paramètres!F$103,$BW$16*Paramètres!F$103)</f>
        <v>0</v>
      </c>
      <c r="ED13" s="27">
        <f>IF(AND(ICI_emp_MRC_choix="Oui",CW16&lt;&gt;""),CW16*Paramètres!F$104,$BW$16*Paramètres!F$104)</f>
        <v>0</v>
      </c>
      <c r="EK13" s="57"/>
      <c r="EL13" s="691" t="s">
        <v>388</v>
      </c>
      <c r="EM13" s="691"/>
      <c r="EN13" s="691"/>
      <c r="EO13" s="691"/>
      <c r="EP13" s="691"/>
      <c r="EQ13" s="691"/>
      <c r="ER13" s="691"/>
      <c r="ES13" s="691"/>
      <c r="ET13" s="1116" t="str">
        <f>IF($FK$11="non",0,IF(OR($FK$11="",$FK$14=""),N.D.,$FK$14*Paramètres!F83/1000))</f>
        <v>N.D.</v>
      </c>
      <c r="EU13" s="1116"/>
      <c r="EV13" s="1116"/>
      <c r="EW13" s="1116"/>
      <c r="EX13" s="105"/>
      <c r="EY13" s="1116" t="str">
        <f>IF($FK$11="non",0,IF(OR($FK$11="",$FK$14=""),N.D.,$FK$14*Paramètres!E83/1000))</f>
        <v>N.D.</v>
      </c>
      <c r="EZ13" s="1116"/>
      <c r="FA13" s="1116"/>
      <c r="FB13" s="1116"/>
      <c r="FC13" s="105"/>
      <c r="FD13" s="1116" t="str">
        <f>IF(ET13=N.D.,N.D.,SUM(ET13,EY13))</f>
        <v>N.D.</v>
      </c>
      <c r="FE13" s="1116"/>
      <c r="FF13" s="1116"/>
      <c r="FG13" s="1116"/>
      <c r="FH13" s="27"/>
      <c r="FK13" s="699" t="s">
        <v>14</v>
      </c>
      <c r="FL13" s="699"/>
      <c r="FM13" s="699"/>
      <c r="FN13" s="699"/>
      <c r="FO13" s="699"/>
      <c r="FP13" s="699"/>
      <c r="FQ13" s="699"/>
    </row>
    <row r="14" spans="1:173" ht="15" customHeight="1" x14ac:dyDescent="0.25">
      <c r="D14" s="5" t="s">
        <v>425</v>
      </c>
      <c r="F14" s="124"/>
      <c r="I14" s="16" t="str">
        <f>puce1</f>
        <v>Ä</v>
      </c>
      <c r="J14" s="771" t="s">
        <v>369</v>
      </c>
      <c r="K14" s="771"/>
      <c r="L14" s="771"/>
      <c r="M14" s="771"/>
      <c r="N14" s="771"/>
      <c r="O14" s="771"/>
      <c r="P14" s="771"/>
      <c r="Q14" s="771"/>
      <c r="R14" s="771"/>
      <c r="S14" s="771"/>
      <c r="T14" s="771"/>
      <c r="U14" s="771"/>
      <c r="V14" s="771"/>
      <c r="W14" s="771"/>
      <c r="X14" s="771"/>
      <c r="Y14" s="1044"/>
      <c r="Z14" s="1044"/>
      <c r="AA14" s="1044"/>
      <c r="AB14" s="1044"/>
      <c r="AC14" s="1044"/>
      <c r="AD14" s="1044"/>
      <c r="AG14" s="637"/>
      <c r="AH14" s="637"/>
      <c r="AI14" s="637"/>
      <c r="AJ14" s="637"/>
      <c r="AK14" s="637"/>
      <c r="AL14" s="637"/>
      <c r="AM14" s="1141"/>
      <c r="AN14" s="1142"/>
      <c r="AO14" s="1142"/>
      <c r="AP14" s="1142"/>
      <c r="AQ14" s="1142"/>
      <c r="AR14" s="1142"/>
      <c r="AS14" s="1142"/>
      <c r="AT14" s="1142"/>
      <c r="AU14" s="1142"/>
      <c r="AV14" s="1142"/>
      <c r="AW14" s="1142"/>
      <c r="AX14" s="1142"/>
      <c r="AY14" s="1142"/>
      <c r="AZ14" s="1142"/>
      <c r="BA14" s="1143"/>
      <c r="BF14" s="638"/>
      <c r="BG14" s="701" t="str">
        <f>I11</f>
        <v>Secteur de la production de biens</v>
      </c>
      <c r="BH14" s="701"/>
      <c r="BI14" s="701"/>
      <c r="BJ14" s="701"/>
      <c r="BK14" s="701"/>
      <c r="BL14" s="701"/>
      <c r="BM14" s="701"/>
      <c r="BN14" s="701"/>
      <c r="BO14" s="701"/>
      <c r="BP14" s="701"/>
      <c r="BQ14" s="701"/>
      <c r="BR14" s="701"/>
      <c r="BS14" s="701"/>
      <c r="BT14" s="701"/>
      <c r="BU14" s="701"/>
      <c r="BV14" s="701"/>
      <c r="BW14" s="1152">
        <f t="shared" si="1"/>
        <v>0</v>
      </c>
      <c r="BX14" s="1152"/>
      <c r="BY14" s="1152"/>
      <c r="BZ14" s="1152"/>
      <c r="CA14" s="1152"/>
      <c r="CB14" s="647"/>
      <c r="CC14" s="639"/>
      <c r="CE14" s="636"/>
      <c r="CG14" s="701" t="str">
        <f>BG14</f>
        <v>Secteur de la production de biens</v>
      </c>
      <c r="CH14" s="701"/>
      <c r="CI14" s="701"/>
      <c r="CJ14" s="701"/>
      <c r="CK14" s="701"/>
      <c r="CL14" s="701"/>
      <c r="CM14" s="701"/>
      <c r="CN14" s="701"/>
      <c r="CO14" s="701"/>
      <c r="CP14" s="701"/>
      <c r="CQ14" s="701"/>
      <c r="CR14" s="701"/>
      <c r="CS14" s="701"/>
      <c r="CT14" s="701"/>
      <c r="CU14" s="701"/>
      <c r="CV14" s="701"/>
      <c r="CW14" s="1158"/>
      <c r="CX14" s="1158"/>
      <c r="CY14" s="1158"/>
      <c r="CZ14" s="1158"/>
      <c r="DA14" s="1158"/>
      <c r="DB14" s="1158"/>
      <c r="DD14" s="636"/>
      <c r="DF14" s="124"/>
      <c r="DK14" s="5" t="str">
        <f t="shared" si="0"/>
        <v>PUBL</v>
      </c>
      <c r="DN14" s="57">
        <f>IF(AND(ICI_emp_MRC_choix="Oui",CW17&lt;&gt;""),CW17*Paramètres!H$107,$BW$17*Paramètres!H$107)</f>
        <v>0</v>
      </c>
      <c r="DO14" s="5">
        <f>IF(AND(ICI_emp_MRC_choix="Oui",CW17&lt;&gt;""),CW17*Paramètres!H$108,$BW$17*Paramètres!H$108)</f>
        <v>0</v>
      </c>
      <c r="DP14" s="5">
        <f>IF(AND(ICI_emp_MRC_choix="Oui",CW17&lt;&gt;""),CW17*Paramètres!H$109,$BW$17*Paramètres!H$109)</f>
        <v>0</v>
      </c>
      <c r="DQ14" s="5">
        <f>IF(AND(ICI_emp_MRC_choix="Oui",CW17&lt;&gt;""),CW17*Paramètres!H$110,$BW$17*Paramètres!H$110)</f>
        <v>0</v>
      </c>
      <c r="DR14" s="27"/>
      <c r="DS14" s="5">
        <f>IF(AND(ICI_emp_MRC_choix="Oui",CW17&lt;&gt;""),CW17*Paramètres!H$112,$BW$17*Paramètres!H$112)</f>
        <v>0</v>
      </c>
      <c r="DT14" s="5">
        <f>IF(AND(ICI_emp_MRC_choix="Oui",CW17&lt;&gt;""),CW17*Paramètres!H$113,$BW$17*Paramètres!H$113)</f>
        <v>0</v>
      </c>
      <c r="DU14" s="27">
        <f>IF(AND(ICI_emp_MRC_choix="Oui",CW17&lt;&gt;""),CW17*Paramètres!H$114,$BW$17*Paramètres!H$114)</f>
        <v>0</v>
      </c>
      <c r="DW14" s="57">
        <f>IF(AND(ICI_emp_MRC_choix="Oui",CW17&lt;&gt;""),CW17*Paramètres!H$97,$BW$17*Paramètres!H$97)</f>
        <v>0</v>
      </c>
      <c r="DX14" s="5">
        <f>IF(AND(ICI_emp_MRC_choix="Oui",CW17&lt;&gt;""),CW17*Paramètres!H$98,$BW$17*Paramètres!H$98)</f>
        <v>0</v>
      </c>
      <c r="DY14" s="5">
        <f>IF(AND(ICI_emp_MRC_choix="Oui",CW17&lt;&gt;""),CW17*Paramètres!H$99,$BW$17*Paramètres!H$99)</f>
        <v>0</v>
      </c>
      <c r="DZ14" s="5">
        <f>IF(AND(ICI_emp_MRC_choix="Oui",CW17&lt;&gt;""),CW17*Paramètres!H$100,$BW$17*Paramètres!H$100)</f>
        <v>0</v>
      </c>
      <c r="EA14" s="27"/>
      <c r="EB14" s="5">
        <f>IF(AND(ICI_emp_MRC_choix="Oui",CW17&lt;&gt;""),CW17*Paramètres!H$102,$BW$17*Paramètres!H$102)</f>
        <v>0</v>
      </c>
      <c r="EC14" s="5">
        <f>IF(AND(ICI_emp_MRC_choix="Oui",CW17&lt;&gt;""),CW17*Paramètres!H$103,$BW$17*Paramètres!H$103)</f>
        <v>0</v>
      </c>
      <c r="ED14" s="27">
        <f>IF(AND(ICI_emp_MRC_choix="Oui",CW17&lt;&gt;""),CW17*Paramètres!H$104,$BW$17*Paramètres!H$104)</f>
        <v>0</v>
      </c>
      <c r="EK14" s="57"/>
      <c r="EL14" s="691" t="s">
        <v>386</v>
      </c>
      <c r="EM14" s="691"/>
      <c r="EN14" s="691"/>
      <c r="EO14" s="691"/>
      <c r="EP14" s="691"/>
      <c r="EQ14" s="691"/>
      <c r="ER14" s="691"/>
      <c r="ES14" s="691"/>
      <c r="ET14" s="1116" t="str">
        <f>IF($FK$11="non",0,IF(OR($FK$11="",$FK$14=""),N.D.,$FK$14*Paramètres!F81/1000))</f>
        <v>N.D.</v>
      </c>
      <c r="EU14" s="1116"/>
      <c r="EV14" s="1116"/>
      <c r="EW14" s="1116"/>
      <c r="EX14" s="105"/>
      <c r="EY14" s="1116" t="str">
        <f>IF($FK$11="non",0,IF(OR($FK$11="",$FK$14=""),N.D.,$FK$14*Paramètres!E81/1000))</f>
        <v>N.D.</v>
      </c>
      <c r="EZ14" s="1116"/>
      <c r="FA14" s="1116"/>
      <c r="FB14" s="1116"/>
      <c r="FC14" s="105"/>
      <c r="FD14" s="1116" t="str">
        <f>IF(ET14=N.D.,N.D.,SUM(ET14,EY14))</f>
        <v>N.D.</v>
      </c>
      <c r="FE14" s="1116"/>
      <c r="FF14" s="1116"/>
      <c r="FG14" s="1116"/>
      <c r="FH14" s="27"/>
      <c r="FK14" s="1043">
        <f>IF('Données - Résidentiel'!AG31="","",'Données - Résidentiel'!AG31)</f>
        <v>0</v>
      </c>
      <c r="FL14" s="1043"/>
      <c r="FM14" s="1043"/>
      <c r="FN14" s="1043"/>
      <c r="FO14" s="1043"/>
      <c r="FP14" s="1043"/>
      <c r="FQ14" s="1043"/>
    </row>
    <row r="15" spans="1:173" ht="15" customHeight="1" x14ac:dyDescent="0.25">
      <c r="D15" s="5" t="s">
        <v>426</v>
      </c>
      <c r="F15" s="124"/>
      <c r="I15" s="16" t="str">
        <f>puce1</f>
        <v>Ä</v>
      </c>
      <c r="J15" s="771" t="s">
        <v>370</v>
      </c>
      <c r="K15" s="771"/>
      <c r="L15" s="771"/>
      <c r="M15" s="771"/>
      <c r="N15" s="771"/>
      <c r="O15" s="771"/>
      <c r="P15" s="771"/>
      <c r="Q15" s="771"/>
      <c r="R15" s="771"/>
      <c r="S15" s="771"/>
      <c r="T15" s="771"/>
      <c r="U15" s="771"/>
      <c r="V15" s="771"/>
      <c r="W15" s="771"/>
      <c r="X15" s="771"/>
      <c r="Y15" s="1044"/>
      <c r="Z15" s="1044"/>
      <c r="AA15" s="1044"/>
      <c r="AB15" s="1044"/>
      <c r="AC15" s="1044"/>
      <c r="AD15" s="1044"/>
      <c r="AG15" s="637"/>
      <c r="AH15" s="637"/>
      <c r="AI15" s="637"/>
      <c r="AJ15" s="637"/>
      <c r="AK15" s="637"/>
      <c r="AL15" s="637"/>
      <c r="AM15" s="1141"/>
      <c r="AN15" s="1142"/>
      <c r="AO15" s="1142"/>
      <c r="AP15" s="1142"/>
      <c r="AQ15" s="1142"/>
      <c r="AR15" s="1142"/>
      <c r="AS15" s="1142"/>
      <c r="AT15" s="1142"/>
      <c r="AU15" s="1142"/>
      <c r="AV15" s="1142"/>
      <c r="AW15" s="1142"/>
      <c r="AX15" s="1142"/>
      <c r="AY15" s="1142"/>
      <c r="AZ15" s="1142"/>
      <c r="BA15" s="1143"/>
      <c r="BF15" s="638"/>
      <c r="BG15" s="16" t="str">
        <f>puce1</f>
        <v>Ä</v>
      </c>
      <c r="BH15" s="771" t="str">
        <f>J12</f>
        <v>   Agriculture</v>
      </c>
      <c r="BI15" s="771"/>
      <c r="BJ15" s="771"/>
      <c r="BK15" s="771"/>
      <c r="BL15" s="771"/>
      <c r="BM15" s="771"/>
      <c r="BN15" s="771"/>
      <c r="BO15" s="771"/>
      <c r="BP15" s="771"/>
      <c r="BQ15" s="771"/>
      <c r="BR15" s="771"/>
      <c r="BS15" s="771"/>
      <c r="BT15" s="771"/>
      <c r="BU15" s="771"/>
      <c r="BV15" s="771"/>
      <c r="BW15" s="1152">
        <f t="shared" si="1"/>
        <v>0</v>
      </c>
      <c r="BX15" s="1152"/>
      <c r="BY15" s="1152"/>
      <c r="BZ15" s="1152"/>
      <c r="CA15" s="1152"/>
      <c r="CB15" s="647"/>
      <c r="CC15" s="639"/>
      <c r="CE15" s="636"/>
      <c r="CG15" s="16" t="str">
        <f>puce1</f>
        <v>Ä</v>
      </c>
      <c r="CH15" s="771" t="str">
        <f>BH15</f>
        <v>   Agriculture</v>
      </c>
      <c r="CI15" s="771"/>
      <c r="CJ15" s="771"/>
      <c r="CK15" s="771"/>
      <c r="CL15" s="771"/>
      <c r="CM15" s="771"/>
      <c r="CN15" s="771"/>
      <c r="CO15" s="771"/>
      <c r="CP15" s="771"/>
      <c r="CQ15" s="771"/>
      <c r="CR15" s="771"/>
      <c r="CS15" s="771"/>
      <c r="CT15" s="771"/>
      <c r="CU15" s="771"/>
      <c r="CV15" s="771"/>
      <c r="CW15" s="1044"/>
      <c r="CX15" s="1044"/>
      <c r="CY15" s="1044"/>
      <c r="CZ15" s="1044"/>
      <c r="DA15" s="1044"/>
      <c r="DB15" s="1044"/>
      <c r="DD15" s="636"/>
      <c r="DF15" s="124"/>
      <c r="DK15" s="5" t="str">
        <f t="shared" si="0"/>
        <v>aucun</v>
      </c>
      <c r="DN15" s="57"/>
      <c r="DR15" s="27"/>
      <c r="DU15" s="27"/>
      <c r="DW15" s="57"/>
      <c r="EA15" s="27"/>
      <c r="ED15" s="27"/>
      <c r="EK15" s="57"/>
      <c r="ET15" s="113"/>
      <c r="EU15" s="113"/>
      <c r="EV15" s="113"/>
      <c r="EW15" s="113"/>
      <c r="EX15" s="113"/>
      <c r="EY15" s="113"/>
      <c r="EZ15" s="113"/>
      <c r="FA15" s="113"/>
      <c r="FB15" s="113"/>
      <c r="FC15" s="113"/>
      <c r="FD15" s="113"/>
      <c r="FE15" s="113"/>
      <c r="FF15" s="113"/>
      <c r="FG15" s="113"/>
      <c r="FH15" s="27"/>
    </row>
    <row r="16" spans="1:173" ht="15" customHeight="1" x14ac:dyDescent="0.25">
      <c r="D16" s="5" t="s">
        <v>427</v>
      </c>
      <c r="F16" s="124"/>
      <c r="I16" s="16" t="str">
        <f>puce1</f>
        <v>Ä</v>
      </c>
      <c r="J16" s="771" t="s">
        <v>638</v>
      </c>
      <c r="K16" s="771"/>
      <c r="L16" s="771"/>
      <c r="M16" s="771"/>
      <c r="N16" s="771"/>
      <c r="O16" s="771"/>
      <c r="P16" s="771"/>
      <c r="Q16" s="771"/>
      <c r="R16" s="771"/>
      <c r="S16" s="771"/>
      <c r="T16" s="771"/>
      <c r="U16" s="771"/>
      <c r="V16" s="771"/>
      <c r="W16" s="771"/>
      <c r="X16" s="771"/>
      <c r="Y16" s="1044"/>
      <c r="Z16" s="1044"/>
      <c r="AA16" s="1044"/>
      <c r="AB16" s="1044"/>
      <c r="AC16" s="1044"/>
      <c r="AD16" s="1044"/>
      <c r="AG16" s="637"/>
      <c r="AH16" s="637"/>
      <c r="AI16" s="637"/>
      <c r="AJ16" s="637"/>
      <c r="AK16" s="637"/>
      <c r="AL16" s="637"/>
      <c r="AM16" s="1141"/>
      <c r="AN16" s="1142"/>
      <c r="AO16" s="1142"/>
      <c r="AP16" s="1142"/>
      <c r="AQ16" s="1142"/>
      <c r="AR16" s="1142"/>
      <c r="AS16" s="1142"/>
      <c r="AT16" s="1142"/>
      <c r="AU16" s="1142"/>
      <c r="AV16" s="1142"/>
      <c r="AW16" s="1142"/>
      <c r="AX16" s="1142"/>
      <c r="AY16" s="1142"/>
      <c r="AZ16" s="1142"/>
      <c r="BA16" s="1143"/>
      <c r="BF16" s="638"/>
      <c r="BG16" s="101" t="str">
        <f>puce1</f>
        <v>Ä</v>
      </c>
      <c r="BH16" s="771" t="str">
        <f>J13</f>
        <v>   Foresterie, pêche, mines et extraction de pétrole et de gaz</v>
      </c>
      <c r="BI16" s="771"/>
      <c r="BJ16" s="771"/>
      <c r="BK16" s="771"/>
      <c r="BL16" s="771"/>
      <c r="BM16" s="771"/>
      <c r="BN16" s="771"/>
      <c r="BO16" s="771"/>
      <c r="BP16" s="771"/>
      <c r="BQ16" s="771"/>
      <c r="BR16" s="771"/>
      <c r="BS16" s="771"/>
      <c r="BT16" s="771"/>
      <c r="BU16" s="771"/>
      <c r="BV16" s="771"/>
      <c r="BW16" s="1152">
        <f t="shared" si="1"/>
        <v>0</v>
      </c>
      <c r="BX16" s="1152"/>
      <c r="BY16" s="1152"/>
      <c r="BZ16" s="1152"/>
      <c r="CA16" s="1152"/>
      <c r="CB16" s="647"/>
      <c r="CC16" s="639"/>
      <c r="CE16" s="636"/>
      <c r="CG16" s="101" t="str">
        <f>puce1</f>
        <v>Ä</v>
      </c>
      <c r="CH16" s="771" t="str">
        <f>BH16</f>
        <v>   Foresterie, pêche, mines et extraction de pétrole et de gaz</v>
      </c>
      <c r="CI16" s="771"/>
      <c r="CJ16" s="771"/>
      <c r="CK16" s="771"/>
      <c r="CL16" s="771"/>
      <c r="CM16" s="771"/>
      <c r="CN16" s="771"/>
      <c r="CO16" s="771"/>
      <c r="CP16" s="771"/>
      <c r="CQ16" s="771"/>
      <c r="CR16" s="771"/>
      <c r="CS16" s="771"/>
      <c r="CT16" s="771"/>
      <c r="CU16" s="771"/>
      <c r="CV16" s="771"/>
      <c r="CW16" s="1044"/>
      <c r="CX16" s="1044"/>
      <c r="CY16" s="1044"/>
      <c r="CZ16" s="1044"/>
      <c r="DA16" s="1044"/>
      <c r="DB16" s="1044"/>
      <c r="DD16" s="636"/>
      <c r="DF16" s="124"/>
      <c r="DK16" s="5" t="str">
        <f t="shared" si="0"/>
        <v>MAN</v>
      </c>
      <c r="DN16" s="57">
        <f>IF(AND(ICI_emp_MRC_choix="Oui",CW19&lt;&gt;""),CW19*Paramètres!G$107,$BW$19*Paramètres!G$107)</f>
        <v>0</v>
      </c>
      <c r="DO16" s="5">
        <f>IF(AND(ICI_emp_MRC_choix="Oui",CW19&lt;&gt;""),CW19*Paramètres!G$108,$BW$19*Paramètres!G$108)</f>
        <v>0</v>
      </c>
      <c r="DP16" s="5">
        <f>IF(AND(ICI_emp_MRC_choix="Oui",CW19&lt;&gt;""),CW19*Paramètres!G$109,$BW$19*Paramètres!G$109)</f>
        <v>0</v>
      </c>
      <c r="DQ16" s="5">
        <f>IF(AND(ICI_emp_MRC_choix="Oui",CW19&lt;&gt;""),CW19*Paramètres!G$110,$BW$19*Paramètres!G$110)</f>
        <v>0</v>
      </c>
      <c r="DR16" s="27"/>
      <c r="DS16" s="17">
        <f>IF(AND(ICI_emp_MRC_choix="Oui",CW19&lt;&gt;""),(CW19-SUM($DQ$137/1000))*Paramètres!G$112,(BW19-SUM($DQ$137/1000))*Paramètres!G$112)</f>
        <v>0</v>
      </c>
      <c r="DT16" s="17">
        <f>IF(AND(ICI_emp_MRC_choix="Oui",CW19&lt;&gt;""),(CW19-SUM($DQ$137/1000))*Paramètres!G$113,(BW19-SUM($DQ$137/1000))*Paramètres!G$113)</f>
        <v>0</v>
      </c>
      <c r="DU16" s="116">
        <f>IF(AND(ICI_emp_MRC_choix="Oui",CW19&lt;&gt;""),(CW19-SUM($DQ$137/1000))*Paramètres!G$114,(BW19-SUM($DQ$137/1000))*Paramètres!G$114)</f>
        <v>0</v>
      </c>
      <c r="DW16" s="57">
        <f>IF(AND(ICI_emp_MRC_choix="Oui",CW19&lt;&gt;""),CW19*Paramètres!G$97,$BW$19*Paramètres!G$97)</f>
        <v>0</v>
      </c>
      <c r="DX16" s="5">
        <f>IF(AND(ICI_emp_MRC_choix="Oui",CW19&lt;&gt;""),CW19*Paramètres!G$98,$BW$19*Paramètres!G$98)</f>
        <v>0</v>
      </c>
      <c r="DY16" s="5">
        <f>IF(AND(ICI_emp_MRC_choix="Oui",CW19&lt;&gt;""),CW19*Paramètres!G$99,$BW$19*Paramètres!G$99)</f>
        <v>0</v>
      </c>
      <c r="DZ16" s="5">
        <f>IF(AND(ICI_emp_MRC_choix="Oui",CW19&lt;&gt;""),CW19*Paramètres!G$100,$BW$19*Paramètres!G$100)</f>
        <v>0</v>
      </c>
      <c r="EA16" s="27"/>
      <c r="EB16" s="17">
        <f>IF(AND(ICI_emp_MRC_choix="Oui",CW19&lt;&gt;""),(CW19-SUM($DQ$137/1000))*Paramètres!G$102,(BW19-SUM($DQ$137/1000))*Paramètres!G$102)</f>
        <v>0</v>
      </c>
      <c r="EC16" s="17">
        <f>IF(AND(ICI_emp_MRC_choix="Oui",CW19&lt;&gt;""),(CW19-SUM($DQ$137/1000))*Paramètres!G$103,(BW19-SUM($DQ$137/1000))*Paramètres!G$103)</f>
        <v>0</v>
      </c>
      <c r="ED16" s="116">
        <f>IF(AND(ICI_emp_MRC_choix="Oui",CW19&lt;&gt;""),(CW19-SUM($DQ$137/1000))*Paramètres!G$104,(BW19-SUM($DQ$137/1000))*Paramètres!G$104)</f>
        <v>0</v>
      </c>
      <c r="EK16" s="57"/>
      <c r="EL16" s="1026" t="s">
        <v>11</v>
      </c>
      <c r="EM16" s="1026"/>
      <c r="EN16" s="1026"/>
      <c r="EO16" s="1026"/>
      <c r="EP16" s="1026"/>
      <c r="EQ16" s="1026"/>
      <c r="ER16" s="1026"/>
      <c r="ES16" s="1026"/>
      <c r="ET16" s="1039" t="str">
        <f>IF(ET11=N.D.,N.D.,SUM(ET11:ET14))</f>
        <v>N.D.</v>
      </c>
      <c r="EU16" s="1039"/>
      <c r="EV16" s="1039"/>
      <c r="EW16" s="1039"/>
      <c r="EX16" s="198"/>
      <c r="EY16" s="1039" t="str">
        <f>IF(EY11=N.D.,N.D.,SUM(EY11:EY14))</f>
        <v>N.D.</v>
      </c>
      <c r="EZ16" s="1039"/>
      <c r="FA16" s="1039"/>
      <c r="FB16" s="1039"/>
      <c r="FC16" s="198"/>
      <c r="FD16" s="1039" t="str">
        <f>IF(ET16=N.D.,N.D.,SUM(ET16,EY16))</f>
        <v>N.D.</v>
      </c>
      <c r="FE16" s="1039"/>
      <c r="FF16" s="1039"/>
      <c r="FG16" s="1039"/>
      <c r="FH16" s="27"/>
    </row>
    <row r="17" spans="1:165" ht="15" customHeight="1" thickBot="1" x14ac:dyDescent="0.3">
      <c r="F17" s="124"/>
      <c r="I17" s="701" t="s">
        <v>371</v>
      </c>
      <c r="J17" s="701"/>
      <c r="K17" s="701"/>
      <c r="L17" s="701"/>
      <c r="M17" s="701"/>
      <c r="N17" s="701"/>
      <c r="O17" s="701"/>
      <c r="P17" s="701"/>
      <c r="Q17" s="701"/>
      <c r="R17" s="701"/>
      <c r="S17" s="701"/>
      <c r="T17" s="701"/>
      <c r="U17" s="701"/>
      <c r="V17" s="701"/>
      <c r="W17" s="701"/>
      <c r="X17" s="701"/>
      <c r="Y17" s="1074"/>
      <c r="Z17" s="1074"/>
      <c r="AA17" s="1074"/>
      <c r="AB17" s="1074"/>
      <c r="AC17" s="1074"/>
      <c r="AD17" s="1074"/>
      <c r="AG17" s="637"/>
      <c r="AH17" s="637"/>
      <c r="AI17" s="637"/>
      <c r="AJ17" s="637"/>
      <c r="AK17" s="637"/>
      <c r="AL17" s="637"/>
      <c r="AM17" s="1144"/>
      <c r="AN17" s="1145"/>
      <c r="AO17" s="1145"/>
      <c r="AP17" s="1145"/>
      <c r="AQ17" s="1145"/>
      <c r="AR17" s="1145"/>
      <c r="AS17" s="1145"/>
      <c r="AT17" s="1145"/>
      <c r="AU17" s="1145"/>
      <c r="AV17" s="1145"/>
      <c r="AW17" s="1145"/>
      <c r="AX17" s="1145"/>
      <c r="AY17" s="1145"/>
      <c r="AZ17" s="1145"/>
      <c r="BA17" s="1146"/>
      <c r="BF17" s="638"/>
      <c r="BG17" s="16" t="str">
        <f>puce1</f>
        <v>Ä</v>
      </c>
      <c r="BH17" s="771" t="str">
        <f>J14</f>
        <v>   Services publics</v>
      </c>
      <c r="BI17" s="771"/>
      <c r="BJ17" s="771"/>
      <c r="BK17" s="771"/>
      <c r="BL17" s="771"/>
      <c r="BM17" s="771"/>
      <c r="BN17" s="771"/>
      <c r="BO17" s="771"/>
      <c r="BP17" s="771"/>
      <c r="BQ17" s="771"/>
      <c r="BR17" s="771"/>
      <c r="BS17" s="771"/>
      <c r="BT17" s="771"/>
      <c r="BU17" s="771"/>
      <c r="BV17" s="771"/>
      <c r="BW17" s="1152">
        <f t="shared" si="1"/>
        <v>0</v>
      </c>
      <c r="BX17" s="1152"/>
      <c r="BY17" s="1152"/>
      <c r="BZ17" s="1152"/>
      <c r="CA17" s="1152"/>
      <c r="CB17" s="647"/>
      <c r="CC17" s="639"/>
      <c r="CE17" s="636"/>
      <c r="CG17" s="16" t="str">
        <f>puce1</f>
        <v>Ä</v>
      </c>
      <c r="CH17" s="771" t="str">
        <f>BH17</f>
        <v>   Services publics</v>
      </c>
      <c r="CI17" s="771"/>
      <c r="CJ17" s="771"/>
      <c r="CK17" s="771"/>
      <c r="CL17" s="771"/>
      <c r="CM17" s="771"/>
      <c r="CN17" s="771"/>
      <c r="CO17" s="771"/>
      <c r="CP17" s="771"/>
      <c r="CQ17" s="771"/>
      <c r="CR17" s="771"/>
      <c r="CS17" s="771"/>
      <c r="CT17" s="771"/>
      <c r="CU17" s="771"/>
      <c r="CV17" s="771"/>
      <c r="CW17" s="1044"/>
      <c r="CX17" s="1044"/>
      <c r="CY17" s="1044"/>
      <c r="CZ17" s="1044"/>
      <c r="DA17" s="1044"/>
      <c r="DB17" s="1044"/>
      <c r="DD17" s="636"/>
      <c r="DF17" s="124"/>
      <c r="DK17" s="5">
        <f t="shared" si="0"/>
        <v>0</v>
      </c>
      <c r="DN17" s="57"/>
      <c r="DR17" s="27"/>
      <c r="DU17" s="27"/>
      <c r="DW17" s="57"/>
      <c r="EA17" s="27"/>
      <c r="ED17" s="27"/>
      <c r="EK17" s="57"/>
      <c r="FH17" s="27"/>
    </row>
    <row r="18" spans="1:165" ht="15" customHeight="1" thickBot="1" x14ac:dyDescent="0.3">
      <c r="D18" s="5" t="s">
        <v>428</v>
      </c>
      <c r="F18" s="124"/>
      <c r="I18" s="16" t="str">
        <f t="shared" ref="I18:I28" si="2">puce1</f>
        <v>Ä</v>
      </c>
      <c r="J18" s="771" t="s">
        <v>372</v>
      </c>
      <c r="K18" s="771"/>
      <c r="L18" s="771"/>
      <c r="M18" s="771"/>
      <c r="N18" s="771"/>
      <c r="O18" s="771"/>
      <c r="P18" s="771"/>
      <c r="Q18" s="771"/>
      <c r="R18" s="771"/>
      <c r="S18" s="771"/>
      <c r="T18" s="771"/>
      <c r="U18" s="771"/>
      <c r="V18" s="771"/>
      <c r="W18" s="771"/>
      <c r="X18" s="771"/>
      <c r="Y18" s="1044"/>
      <c r="Z18" s="1044"/>
      <c r="AA18" s="1044"/>
      <c r="AB18" s="1044"/>
      <c r="AC18" s="1044"/>
      <c r="AD18" s="1044"/>
      <c r="BF18" s="638"/>
      <c r="BG18" s="16" t="str">
        <f>puce1</f>
        <v>Ä</v>
      </c>
      <c r="BH18" s="771" t="str">
        <f>J15</f>
        <v>   Construction</v>
      </c>
      <c r="BI18" s="771"/>
      <c r="BJ18" s="771"/>
      <c r="BK18" s="771"/>
      <c r="BL18" s="771"/>
      <c r="BM18" s="771"/>
      <c r="BN18" s="771"/>
      <c r="BO18" s="771"/>
      <c r="BP18" s="771"/>
      <c r="BQ18" s="771"/>
      <c r="BR18" s="771"/>
      <c r="BS18" s="771"/>
      <c r="BT18" s="771"/>
      <c r="BU18" s="771"/>
      <c r="BV18" s="771"/>
      <c r="BW18" s="1152">
        <f t="shared" si="1"/>
        <v>0</v>
      </c>
      <c r="BX18" s="1152"/>
      <c r="BY18" s="1152"/>
      <c r="BZ18" s="1152"/>
      <c r="CA18" s="1152"/>
      <c r="CB18" s="647"/>
      <c r="CC18" s="639"/>
      <c r="CE18" s="636"/>
      <c r="CG18" s="16" t="str">
        <f>puce1</f>
        <v>Ä</v>
      </c>
      <c r="CH18" s="771" t="str">
        <f>BH18</f>
        <v>   Construction</v>
      </c>
      <c r="CI18" s="771"/>
      <c r="CJ18" s="771"/>
      <c r="CK18" s="771"/>
      <c r="CL18" s="771"/>
      <c r="CM18" s="771"/>
      <c r="CN18" s="771"/>
      <c r="CO18" s="771"/>
      <c r="CP18" s="771"/>
      <c r="CQ18" s="771"/>
      <c r="CR18" s="771"/>
      <c r="CS18" s="771"/>
      <c r="CT18" s="771"/>
      <c r="CU18" s="771"/>
      <c r="CV18" s="771"/>
      <c r="CW18" s="1158"/>
      <c r="CX18" s="1158"/>
      <c r="CY18" s="1158"/>
      <c r="CZ18" s="1158"/>
      <c r="DA18" s="1158"/>
      <c r="DB18" s="1158"/>
      <c r="DD18" s="636"/>
      <c r="DF18" s="124"/>
      <c r="DK18" s="5" t="str">
        <f t="shared" si="0"/>
        <v>COMM</v>
      </c>
      <c r="DN18" s="57">
        <f>IF(AND(ICI_emp_MRC_choix="Oui",CW21&lt;&gt;""),CW21*Paramètres!K$107,$BW$21*Paramètres!K$107)</f>
        <v>0</v>
      </c>
      <c r="DO18" s="5">
        <f>IF(AND(ICI_emp_MRC_choix="Oui",CW21&lt;&gt;""),CW21*Paramètres!K$108,$BW$21*Paramètres!K$108)</f>
        <v>0</v>
      </c>
      <c r="DP18" s="5">
        <f>IF(AND(ICI_emp_MRC_choix="Oui",CW21&lt;&gt;""),CW21*Paramètres!K$109,$BW$21*Paramètres!K$109)</f>
        <v>0</v>
      </c>
      <c r="DQ18" s="5">
        <f>IF(AND(ICI_emp_MRC_choix="Oui",CW21&lt;&gt;""),CW21*Paramètres!K$110,$BW$21*Paramètres!K$110)</f>
        <v>0</v>
      </c>
      <c r="DR18" s="27"/>
      <c r="DS18" s="5">
        <f>IF(AND(ICI_emp_MRC_choix="Oui",CW21&lt;&gt;""),CW21*Paramètres!K$112,$BW$21*Paramètres!K$112)</f>
        <v>0</v>
      </c>
      <c r="DT18" s="5">
        <f>IF(AND(ICI_emp_MRC_choix="Oui",CW21&lt;&gt;""),CW21*Paramètres!K$113,$BW$21*Paramètres!K$113)</f>
        <v>0</v>
      </c>
      <c r="DU18" s="27">
        <f>IF(AND(ICI_emp_MRC_choix="Oui",CW21&lt;&gt;""),CW21*Paramètres!K$114,$BW$21*Paramètres!K$114)</f>
        <v>0</v>
      </c>
      <c r="DW18" s="57">
        <f>IF(AND(ICI_emp_MRC_choix="Oui",CW21&lt;&gt;""),CW21*Paramètres!K$97,$BW$21*Paramètres!K$97)</f>
        <v>0</v>
      </c>
      <c r="DX18" s="5">
        <f>IF(AND(ICI_emp_MRC_choix="Oui",CW21&lt;&gt;""),CW21*Paramètres!K$98,$BW$21*Paramètres!K$98)</f>
        <v>0</v>
      </c>
      <c r="DY18" s="5">
        <f>IF(AND(ICI_emp_MRC_choix="Oui",CW21&lt;&gt;""),CW21*Paramètres!K$99,$BW$21*Paramètres!K$99)</f>
        <v>0</v>
      </c>
      <c r="DZ18" s="5">
        <f>IF(AND(ICI_emp_MRC_choix="Oui",CW21&lt;&gt;""),CW21*Paramètres!K$100,$BW$21*Paramètres!K$100)</f>
        <v>0</v>
      </c>
      <c r="EA18" s="27"/>
      <c r="EB18" s="5">
        <f>IF(AND(ICI_emp_MRC_choix="Oui",CW21&lt;&gt;""),CW21*Paramètres!K$102,$BW$21*Paramètres!K$102)</f>
        <v>0</v>
      </c>
      <c r="EC18" s="5">
        <f>IF(AND(ICI_emp_MRC_choix="Oui",CW21&lt;&gt;""),CW21*Paramètres!K$103,$BW$21*Paramètres!K$103)</f>
        <v>0</v>
      </c>
      <c r="ED18" s="27">
        <f>IF(AND(ICI_emp_MRC_choix="Oui",CW21&lt;&gt;""),CW21*Paramètres!K$104,$BW$21*Paramètres!K$104)</f>
        <v>0</v>
      </c>
      <c r="EK18" s="57"/>
      <c r="FH18" s="27"/>
    </row>
    <row r="19" spans="1:165" ht="15" customHeight="1" x14ac:dyDescent="0.25">
      <c r="D19" s="5" t="s">
        <v>429</v>
      </c>
      <c r="F19" s="124"/>
      <c r="I19" s="16" t="str">
        <f t="shared" si="2"/>
        <v>Ä</v>
      </c>
      <c r="J19" s="771" t="s">
        <v>373</v>
      </c>
      <c r="K19" s="771"/>
      <c r="L19" s="771"/>
      <c r="M19" s="771"/>
      <c r="N19" s="771"/>
      <c r="O19" s="771"/>
      <c r="P19" s="771"/>
      <c r="Q19" s="771"/>
      <c r="R19" s="771"/>
      <c r="S19" s="771"/>
      <c r="T19" s="771"/>
      <c r="U19" s="771"/>
      <c r="V19" s="771"/>
      <c r="W19" s="771"/>
      <c r="X19" s="771"/>
      <c r="Y19" s="1044"/>
      <c r="Z19" s="1044"/>
      <c r="AA19" s="1044"/>
      <c r="AB19" s="1044"/>
      <c r="AC19" s="1044"/>
      <c r="AD19" s="1044"/>
      <c r="AM19" s="1060" t="s">
        <v>786</v>
      </c>
      <c r="AN19" s="1061"/>
      <c r="AO19" s="1061"/>
      <c r="AP19" s="1061"/>
      <c r="AQ19" s="1061"/>
      <c r="AR19" s="1061"/>
      <c r="AS19" s="1061"/>
      <c r="AT19" s="1061"/>
      <c r="AU19" s="1061"/>
      <c r="AV19" s="1061"/>
      <c r="AW19" s="1061"/>
      <c r="AX19" s="1061"/>
      <c r="AY19" s="1061"/>
      <c r="AZ19" s="1061"/>
      <c r="BA19" s="1062"/>
      <c r="BF19" s="638"/>
      <c r="BG19" s="16" t="str">
        <f>puce1</f>
        <v>Ä</v>
      </c>
      <c r="BH19" s="771" t="str">
        <f>J16</f>
        <v>   Fabrication (manufacturier)</v>
      </c>
      <c r="BI19" s="771"/>
      <c r="BJ19" s="771"/>
      <c r="BK19" s="771"/>
      <c r="BL19" s="771"/>
      <c r="BM19" s="771"/>
      <c r="BN19" s="771"/>
      <c r="BO19" s="771"/>
      <c r="BP19" s="771"/>
      <c r="BQ19" s="771"/>
      <c r="BR19" s="771"/>
      <c r="BS19" s="771"/>
      <c r="BT19" s="771"/>
      <c r="BU19" s="771"/>
      <c r="BV19" s="771"/>
      <c r="BW19" s="1152">
        <f t="shared" si="1"/>
        <v>0</v>
      </c>
      <c r="BX19" s="1152"/>
      <c r="BY19" s="1152"/>
      <c r="BZ19" s="1152"/>
      <c r="CA19" s="1152"/>
      <c r="CB19" s="647"/>
      <c r="CC19" s="639"/>
      <c r="CE19" s="636"/>
      <c r="CG19" s="16" t="str">
        <f>puce1</f>
        <v>Ä</v>
      </c>
      <c r="CH19" s="771" t="str">
        <f>BH19</f>
        <v>   Fabrication (manufacturier)</v>
      </c>
      <c r="CI19" s="771"/>
      <c r="CJ19" s="771"/>
      <c r="CK19" s="771"/>
      <c r="CL19" s="771"/>
      <c r="CM19" s="771"/>
      <c r="CN19" s="771"/>
      <c r="CO19" s="771"/>
      <c r="CP19" s="771"/>
      <c r="CQ19" s="771"/>
      <c r="CR19" s="771"/>
      <c r="CS19" s="771"/>
      <c r="CT19" s="771"/>
      <c r="CU19" s="771"/>
      <c r="CV19" s="771"/>
      <c r="CW19" s="1044"/>
      <c r="CX19" s="1044"/>
      <c r="CY19" s="1044"/>
      <c r="CZ19" s="1044"/>
      <c r="DA19" s="1044"/>
      <c r="DB19" s="1044"/>
      <c r="DD19" s="636"/>
      <c r="DF19" s="124"/>
      <c r="DK19" s="5" t="str">
        <f t="shared" si="0"/>
        <v>TRANS</v>
      </c>
      <c r="DN19" s="57">
        <f>IF(AND(ICI_emp_MRC_choix="Oui",CW22&lt;&gt;""),CW22*Paramètres!I$107,$BW$22*Paramètres!I$107)</f>
        <v>0</v>
      </c>
      <c r="DO19" s="5">
        <f>IF(AND(ICI_emp_MRC_choix="Oui",CW22&lt;&gt;""),CW22*Paramètres!I$108,$BW$22*Paramètres!I$108)</f>
        <v>0</v>
      </c>
      <c r="DP19" s="5">
        <f>IF(AND(ICI_emp_MRC_choix="Oui",CW22&lt;&gt;""),CW22*Paramètres!I$109,$BW$22*Paramètres!I$109)</f>
        <v>0</v>
      </c>
      <c r="DQ19" s="5">
        <f>IF(AND(ICI_emp_MRC_choix="Oui",CW22&lt;&gt;""),CW22*Paramètres!I$110,$BW$22*Paramètres!I$110)</f>
        <v>0</v>
      </c>
      <c r="DR19" s="27"/>
      <c r="DS19" s="5">
        <f>IF(AND(ICI_emp_MRC_choix="Oui",CW22&lt;&gt;""),CW22*Paramètres!I$112,$BW$22*Paramètres!I$112)</f>
        <v>0</v>
      </c>
      <c r="DT19" s="5">
        <f>IF(AND(ICI_emp_MRC_choix="Oui",CW22&lt;&gt;""),CW22*Paramètres!I$113,$BW$22*Paramètres!I$113)</f>
        <v>0</v>
      </c>
      <c r="DU19" s="27">
        <f>IF(AND(ICI_emp_MRC_choix="Oui",CW22&lt;&gt;""),CW22*Paramètres!I$114,$BW$22*Paramètres!I$114)</f>
        <v>0</v>
      </c>
      <c r="DW19" s="57">
        <f>IF(AND(ICI_emp_MRC_choix="Oui",CW22&lt;&gt;""),CW22*Paramètres!I$97,$BW$22*Paramètres!I$97)</f>
        <v>0</v>
      </c>
      <c r="DX19" s="5">
        <f>IF(AND(ICI_emp_MRC_choix="Oui",CW22&lt;&gt;""),CW22*Paramètres!I$98,$BW$22*Paramètres!I$98)</f>
        <v>0</v>
      </c>
      <c r="DY19" s="5">
        <f>IF(AND(ICI_emp_MRC_choix="Oui",CW22&lt;&gt;""),CW22*Paramètres!I$99,$BW$22*Paramètres!I$99)</f>
        <v>0</v>
      </c>
      <c r="DZ19" s="5">
        <f>IF(AND(ICI_emp_MRC_choix="Oui",CW22&lt;&gt;""),CW22*Paramètres!I$100,$BW$22*Paramètres!I$100)</f>
        <v>0</v>
      </c>
      <c r="EA19" s="27"/>
      <c r="EB19" s="5">
        <f>IF(AND(ICI_emp_MRC_choix="Oui",CW22&lt;&gt;""),CW22*Paramètres!I$102,$BW$22*Paramètres!I$102)</f>
        <v>0</v>
      </c>
      <c r="EC19" s="5">
        <f>IF(AND(ICI_emp_MRC_choix="Oui",CW22&lt;&gt;""),CW22*Paramètres!I$103,$BW$22*Paramètres!I$103)</f>
        <v>0</v>
      </c>
      <c r="ED19" s="27">
        <f>IF(AND(ICI_emp_MRC_choix="Oui",CW22&lt;&gt;""),CW22*Paramètres!I$104,$BW$22*Paramètres!I$104)</f>
        <v>0</v>
      </c>
      <c r="EK19" s="57"/>
      <c r="EL19" s="701" t="s">
        <v>417</v>
      </c>
      <c r="EM19" s="701"/>
      <c r="EN19" s="701"/>
      <c r="EO19" s="701"/>
      <c r="EP19" s="701"/>
      <c r="EQ19" s="701"/>
      <c r="ER19" s="701"/>
      <c r="ES19" s="701"/>
      <c r="ET19" s="1116" t="str">
        <f>IF($FK$11="non",0,IF(OR($FK$11="",$FK$14=""),N.D.,$FK$14*Paramètres!F85/1000))</f>
        <v>N.D.</v>
      </c>
      <c r="EU19" s="1116"/>
      <c r="EV19" s="1116"/>
      <c r="EW19" s="1116"/>
      <c r="EX19" s="105"/>
      <c r="EY19" s="1116" t="str">
        <f>IF($FK$11="non",0,IF(OR($FK$11="",$FK$14=""),N.D.,$FK$14*Paramètres!E85/1000))</f>
        <v>N.D.</v>
      </c>
      <c r="EZ19" s="1116"/>
      <c r="FA19" s="1116"/>
      <c r="FB19" s="1116"/>
      <c r="FC19" s="105"/>
      <c r="FD19" s="1116" t="str">
        <f>IF(ET19=N.D.,N.D.,SUM(ET19,EY19))</f>
        <v>N.D.</v>
      </c>
      <c r="FE19" s="1116"/>
      <c r="FF19" s="1116"/>
      <c r="FG19" s="1116"/>
      <c r="FH19" s="27"/>
    </row>
    <row r="20" spans="1:165" ht="16.5" customHeight="1" x14ac:dyDescent="0.25">
      <c r="D20" s="5" t="s">
        <v>430</v>
      </c>
      <c r="F20" s="124"/>
      <c r="I20" s="16" t="str">
        <f t="shared" si="2"/>
        <v>Ä</v>
      </c>
      <c r="J20" s="771" t="s">
        <v>374</v>
      </c>
      <c r="K20" s="771"/>
      <c r="L20" s="771"/>
      <c r="M20" s="771"/>
      <c r="N20" s="771"/>
      <c r="O20" s="771"/>
      <c r="P20" s="771"/>
      <c r="Q20" s="771"/>
      <c r="R20" s="771"/>
      <c r="S20" s="771"/>
      <c r="T20" s="771"/>
      <c r="U20" s="771"/>
      <c r="V20" s="771"/>
      <c r="W20" s="771"/>
      <c r="X20" s="771"/>
      <c r="Y20" s="1044"/>
      <c r="Z20" s="1044"/>
      <c r="AA20" s="1044"/>
      <c r="AB20" s="1044"/>
      <c r="AC20" s="1044"/>
      <c r="AD20" s="1044"/>
      <c r="AM20" s="1063"/>
      <c r="AN20" s="1064"/>
      <c r="AO20" s="1064"/>
      <c r="AP20" s="1064"/>
      <c r="AQ20" s="1064"/>
      <c r="AR20" s="1064"/>
      <c r="AS20" s="1064"/>
      <c r="AT20" s="1064"/>
      <c r="AU20" s="1064"/>
      <c r="AV20" s="1064"/>
      <c r="AW20" s="1064"/>
      <c r="AX20" s="1064"/>
      <c r="AY20" s="1064"/>
      <c r="AZ20" s="1064"/>
      <c r="BA20" s="1065"/>
      <c r="BF20" s="638"/>
      <c r="BG20" s="701" t="str">
        <f>I17</f>
        <v>Secteur des services</v>
      </c>
      <c r="BH20" s="701"/>
      <c r="BI20" s="701"/>
      <c r="BJ20" s="701"/>
      <c r="BK20" s="701"/>
      <c r="BL20" s="701"/>
      <c r="BM20" s="701"/>
      <c r="BN20" s="701"/>
      <c r="BO20" s="701"/>
      <c r="BP20" s="701"/>
      <c r="BQ20" s="701"/>
      <c r="BR20" s="701"/>
      <c r="BS20" s="701"/>
      <c r="BT20" s="701"/>
      <c r="BU20" s="701"/>
      <c r="BV20" s="701"/>
      <c r="BW20" s="1152">
        <f t="shared" si="1"/>
        <v>0</v>
      </c>
      <c r="BX20" s="1152"/>
      <c r="BY20" s="1152"/>
      <c r="BZ20" s="1152"/>
      <c r="CA20" s="1152"/>
      <c r="CB20" s="647"/>
      <c r="CC20" s="639"/>
      <c r="CE20" s="636"/>
      <c r="CG20" s="701" t="str">
        <f>BG20</f>
        <v>Secteur des services</v>
      </c>
      <c r="CH20" s="701"/>
      <c r="CI20" s="701"/>
      <c r="CJ20" s="701"/>
      <c r="CK20" s="701"/>
      <c r="CL20" s="701"/>
      <c r="CM20" s="701"/>
      <c r="CN20" s="701"/>
      <c r="CO20" s="701"/>
      <c r="CP20" s="701"/>
      <c r="CQ20" s="701"/>
      <c r="CR20" s="701"/>
      <c r="CS20" s="701"/>
      <c r="CT20" s="701"/>
      <c r="CU20" s="701"/>
      <c r="CV20" s="701"/>
      <c r="CW20" s="1158"/>
      <c r="CX20" s="1158"/>
      <c r="CY20" s="1158"/>
      <c r="CZ20" s="1158"/>
      <c r="DA20" s="1158"/>
      <c r="DB20" s="1158"/>
      <c r="DD20" s="636"/>
      <c r="DF20" s="124"/>
      <c r="DK20" s="5" t="str">
        <f t="shared" si="0"/>
        <v>SERV</v>
      </c>
      <c r="DN20" s="57">
        <f>IF(AND(ICI_emp_MRC_choix="Oui",CW23&lt;&gt;""),CW23*Paramètres!L$107,$BW$23*Paramètres!L$107)</f>
        <v>0</v>
      </c>
      <c r="DO20" s="5">
        <f>IF(AND(ICI_emp_MRC_choix="Oui",CW23&lt;&gt;""),CW23*Paramètres!L$108,$BW$23*Paramètres!L$108)</f>
        <v>0</v>
      </c>
      <c r="DP20" s="5">
        <f>IF(AND(ICI_emp_MRC_choix="Oui",CW23&lt;&gt;""),CW23*Paramètres!L$109,$BW$23*Paramètres!L$109)</f>
        <v>0</v>
      </c>
      <c r="DQ20" s="5">
        <f>IF(AND(ICI_emp_MRC_choix="Oui",CW23&lt;&gt;""),CW23*Paramètres!L$110,$BW$23*Paramètres!L$110)</f>
        <v>0</v>
      </c>
      <c r="DR20" s="27"/>
      <c r="DS20" s="5">
        <f>IF(AND(ICI_emp_MRC_choix="Oui",CW23&lt;&gt;""),CW23*Paramètres!L$112,$BW$23*Paramètres!L$112)</f>
        <v>0</v>
      </c>
      <c r="DT20" s="5">
        <f>IF(AND(ICI_emp_MRC_choix="Oui",CW23&lt;&gt;""),CW23*Paramètres!L$113,$BW$23*Paramètres!L$113)</f>
        <v>0</v>
      </c>
      <c r="DU20" s="27">
        <f>IF(AND(ICI_emp_MRC_choix="Oui",CW23&lt;&gt;""),CW23*Paramètres!L$114,$BW$23*Paramètres!L$114)</f>
        <v>0</v>
      </c>
      <c r="DW20" s="57">
        <f>IF(AND(ICI_emp_MRC_choix="Oui",CW23&lt;&gt;""),CW23*Paramètres!L$97,$BW$23*Paramètres!L$97)</f>
        <v>0</v>
      </c>
      <c r="DX20" s="5">
        <f>IF(AND(ICI_emp_MRC_choix="Oui",CW23&lt;&gt;""),CW23*Paramètres!L$98,$BW$23*Paramètres!L$98)</f>
        <v>0</v>
      </c>
      <c r="DY20" s="5">
        <f>IF(AND(ICI_emp_MRC_choix="Oui",CW23&lt;&gt;""),CW23*Paramètres!L$99,$BW$23*Paramètres!L$99)</f>
        <v>0</v>
      </c>
      <c r="DZ20" s="5">
        <f>IF(AND(ICI_emp_MRC_choix="Oui",CW23&lt;&gt;""),CW23*Paramètres!L$100,$BW$23*Paramètres!L$100)</f>
        <v>0</v>
      </c>
      <c r="EA20" s="27"/>
      <c r="EB20" s="5">
        <f>IF(AND(ICI_emp_MRC_choix="Oui",CW23&lt;&gt;""),CW23*Paramètres!L$102,$BW$23*Paramètres!L$102)</f>
        <v>0</v>
      </c>
      <c r="EC20" s="5">
        <f>IF(AND(ICI_emp_MRC_choix="Oui",CW23&lt;&gt;""),CW23*Paramètres!L$103,$BW$23*Paramètres!L$103)</f>
        <v>0</v>
      </c>
      <c r="ED20" s="27">
        <f>IF(AND(ICI_emp_MRC_choix="Oui",CW23&lt;&gt;""),CW23*Paramètres!L$104,$BW$23*Paramètres!L$104)</f>
        <v>0</v>
      </c>
      <c r="EK20" s="57"/>
      <c r="EL20" s="701" t="s">
        <v>502</v>
      </c>
      <c r="EM20" s="701"/>
      <c r="EN20" s="701"/>
      <c r="EO20" s="701"/>
      <c r="EP20" s="701"/>
      <c r="EQ20" s="701"/>
      <c r="ER20" s="701"/>
      <c r="ES20" s="701"/>
      <c r="ET20" s="1116" t="str">
        <f>IF($FK$11="non",0,IF(OR($FK$11="",$FK$14=""),N.D.,$FK$14*Paramètres!F86/1000))</f>
        <v>N.D.</v>
      </c>
      <c r="EU20" s="1116"/>
      <c r="EV20" s="1116"/>
      <c r="EW20" s="1116"/>
      <c r="EX20" s="105"/>
      <c r="EY20" s="1116" t="str">
        <f>IF($FK$11="non",0,IF(OR($FK$11="",$FK$14=""),N.D.,$FK$14*Paramètres!E86/1000))</f>
        <v>N.D.</v>
      </c>
      <c r="EZ20" s="1116"/>
      <c r="FA20" s="1116"/>
      <c r="FB20" s="1116"/>
      <c r="FC20" s="105"/>
      <c r="FD20" s="1116" t="str">
        <f>IF(ET20=N.D.,N.D.,SUM(ET20,EY20))</f>
        <v>N.D.</v>
      </c>
      <c r="FE20" s="1116"/>
      <c r="FF20" s="1116"/>
      <c r="FG20" s="1116"/>
      <c r="FH20" s="27"/>
    </row>
    <row r="21" spans="1:165" ht="15" customHeight="1" x14ac:dyDescent="0.25">
      <c r="D21" s="5" t="s">
        <v>430</v>
      </c>
      <c r="F21" s="124"/>
      <c r="I21" s="16" t="str">
        <f t="shared" si="2"/>
        <v>Ä</v>
      </c>
      <c r="J21" s="771" t="s">
        <v>375</v>
      </c>
      <c r="K21" s="771"/>
      <c r="L21" s="771"/>
      <c r="M21" s="771"/>
      <c r="N21" s="771"/>
      <c r="O21" s="771"/>
      <c r="P21" s="771"/>
      <c r="Q21" s="771"/>
      <c r="R21" s="771"/>
      <c r="S21" s="771"/>
      <c r="T21" s="771"/>
      <c r="U21" s="771"/>
      <c r="V21" s="771"/>
      <c r="W21" s="771"/>
      <c r="X21" s="771"/>
      <c r="Y21" s="1044"/>
      <c r="Z21" s="1044"/>
      <c r="AA21" s="1044"/>
      <c r="AB21" s="1044"/>
      <c r="AC21" s="1044"/>
      <c r="AD21" s="1044"/>
      <c r="AM21" s="1063"/>
      <c r="AN21" s="1064"/>
      <c r="AO21" s="1064"/>
      <c r="AP21" s="1064"/>
      <c r="AQ21" s="1064"/>
      <c r="AR21" s="1064"/>
      <c r="AS21" s="1064"/>
      <c r="AT21" s="1064"/>
      <c r="AU21" s="1064"/>
      <c r="AV21" s="1064"/>
      <c r="AW21" s="1064"/>
      <c r="AX21" s="1064"/>
      <c r="AY21" s="1064"/>
      <c r="AZ21" s="1064"/>
      <c r="BA21" s="1065"/>
      <c r="BF21" s="638"/>
      <c r="BG21" s="16" t="str">
        <f t="shared" ref="BG21:BG31" si="3">puce1</f>
        <v>Ä</v>
      </c>
      <c r="BH21" s="1075" t="str">
        <f t="shared" ref="BH21:BH31" si="4">J18</f>
        <v>   Commerce</v>
      </c>
      <c r="BI21" s="1075"/>
      <c r="BJ21" s="1075"/>
      <c r="BK21" s="1075"/>
      <c r="BL21" s="1075"/>
      <c r="BM21" s="1075"/>
      <c r="BN21" s="1075"/>
      <c r="BO21" s="1075"/>
      <c r="BP21" s="1075"/>
      <c r="BQ21" s="1075"/>
      <c r="BR21" s="1075"/>
      <c r="BS21" s="1075"/>
      <c r="BT21" s="1075"/>
      <c r="BU21" s="1075"/>
      <c r="BV21" s="1075"/>
      <c r="BW21" s="1152">
        <f t="shared" si="1"/>
        <v>0</v>
      </c>
      <c r="BX21" s="1152"/>
      <c r="BY21" s="1152"/>
      <c r="BZ21" s="1152"/>
      <c r="CA21" s="1152"/>
      <c r="CB21" s="647"/>
      <c r="CC21" s="639"/>
      <c r="CE21" s="636"/>
      <c r="CG21" s="16" t="str">
        <f t="shared" ref="CG21:CG31" si="5">puce1</f>
        <v>Ä</v>
      </c>
      <c r="CH21" s="1159" t="str">
        <f t="shared" ref="CH21:CH31" si="6">BH21</f>
        <v>   Commerce</v>
      </c>
      <c r="CI21" s="1159"/>
      <c r="CJ21" s="1159"/>
      <c r="CK21" s="1159"/>
      <c r="CL21" s="1159"/>
      <c r="CM21" s="1159"/>
      <c r="CN21" s="1159"/>
      <c r="CO21" s="1159"/>
      <c r="CP21" s="1159"/>
      <c r="CQ21" s="1159"/>
      <c r="CR21" s="1159"/>
      <c r="CS21" s="1159"/>
      <c r="CT21" s="1159"/>
      <c r="CU21" s="1159"/>
      <c r="CV21" s="1159"/>
      <c r="CW21" s="1044"/>
      <c r="CX21" s="1044"/>
      <c r="CY21" s="1044"/>
      <c r="CZ21" s="1044"/>
      <c r="DA21" s="1044"/>
      <c r="DB21" s="1044"/>
      <c r="DD21" s="636"/>
      <c r="DF21" s="124"/>
      <c r="DK21" s="5" t="str">
        <f t="shared" si="0"/>
        <v>SERV</v>
      </c>
      <c r="DN21" s="57">
        <f>IF(AND(ICI_emp_MRC_choix="Oui",CW24&lt;&gt;""),CW24*Paramètres!L$107,$BW$24*Paramètres!L$107)</f>
        <v>0</v>
      </c>
      <c r="DO21" s="5">
        <f>IF(AND(ICI_emp_MRC_choix="Oui",CW24&lt;&gt;""),CW24*Paramètres!L$108,$BW$24*Paramètres!L$108)</f>
        <v>0</v>
      </c>
      <c r="DP21" s="5">
        <f>IF(AND(ICI_emp_MRC_choix="Oui",CW24&lt;&gt;""),CW24*Paramètres!L$109,$BW$24*Paramètres!L$109)</f>
        <v>0</v>
      </c>
      <c r="DQ21" s="5">
        <f>IF(AND(ICI_emp_MRC_choix="Oui",CW24&lt;&gt;""),CW24*Paramètres!L$110,$BW$24*Paramètres!L$110)</f>
        <v>0</v>
      </c>
      <c r="DR21" s="27"/>
      <c r="DS21" s="5">
        <f>IF(AND(ICI_emp_MRC_choix="Oui",CW24&lt;&gt;""),CW24*Paramètres!L$112,$BW$24*Paramètres!L$112)</f>
        <v>0</v>
      </c>
      <c r="DT21" s="5">
        <f>IF(AND(ICI_emp_MRC_choix="Oui",CW24&lt;&gt;""),CW24*Paramètres!L$113,$BW$24*Paramètres!L$113)</f>
        <v>0</v>
      </c>
      <c r="DU21" s="27">
        <f>IF(AND(ICI_emp_MRC_choix="Oui",CW24&lt;&gt;""),CW24*Paramètres!L$114,$BW$24*Paramètres!L$114)</f>
        <v>0</v>
      </c>
      <c r="DW21" s="57">
        <f>IF(AND(ICI_emp_MRC_choix="Oui",CW24&lt;&gt;""),CW24*Paramètres!L$97,$BW$24*Paramètres!L$97)</f>
        <v>0</v>
      </c>
      <c r="DX21" s="5">
        <f>IF(AND(ICI_emp_MRC_choix="Oui",CW24&lt;&gt;""),CW24*Paramètres!L$98,$BW$24*Paramètres!L$98)</f>
        <v>0</v>
      </c>
      <c r="DY21" s="5">
        <f>IF(AND(ICI_emp_MRC_choix="Oui",CW24&lt;&gt;""),CW24*Paramètres!L$99,$BW$24*Paramètres!L$99)</f>
        <v>0</v>
      </c>
      <c r="DZ21" s="5">
        <f>IF(AND(ICI_emp_MRC_choix="Oui",CW24&lt;&gt;""),CW24*Paramètres!L$100,$BW$24*Paramètres!L$100)</f>
        <v>0</v>
      </c>
      <c r="EA21" s="27"/>
      <c r="EB21" s="5">
        <f>IF(AND(ICI_emp_MRC_choix="Oui",CW24&lt;&gt;""),CW24*Paramètres!L$102,$BW$24*Paramètres!L$102)</f>
        <v>0</v>
      </c>
      <c r="EC21" s="5">
        <f>IF(AND(ICI_emp_MRC_choix="Oui",CW24&lt;&gt;""),CW24*Paramètres!L$103,$BW$24*Paramètres!L$103)</f>
        <v>0</v>
      </c>
      <c r="ED21" s="27">
        <f>IF(AND(ICI_emp_MRC_choix="Oui",CW24&lt;&gt;""),CW24*Paramètres!L$104,$BW$24*Paramètres!L$104)</f>
        <v>0</v>
      </c>
      <c r="EK21" s="57"/>
      <c r="EL21" s="691" t="s">
        <v>506</v>
      </c>
      <c r="EM21" s="691"/>
      <c r="EN21" s="691"/>
      <c r="EO21" s="691"/>
      <c r="EP21" s="691"/>
      <c r="EQ21" s="691"/>
      <c r="ER21" s="691"/>
      <c r="ES21" s="691"/>
      <c r="ET21" s="1116" t="str">
        <f>IF($FK$11="non",0,IF(OR($FK$11="",$FK$14=""),N.D.,$FK$14*Paramètres!F87/1000))</f>
        <v>N.D.</v>
      </c>
      <c r="EU21" s="1116"/>
      <c r="EV21" s="1116"/>
      <c r="EW21" s="1116"/>
      <c r="EX21" s="105"/>
      <c r="EY21" s="1116" t="str">
        <f>IF($FK$11="non",0,IF(OR($FK$11="",$FK$14=""),N.D.,$FK$14*Paramètres!E87/1000))</f>
        <v>N.D.</v>
      </c>
      <c r="EZ21" s="1116"/>
      <c r="FA21" s="1116"/>
      <c r="FB21" s="1116"/>
      <c r="FC21" s="105"/>
      <c r="FD21" s="1116" t="str">
        <f>IF(ET21=N.D.,N.D.,SUM(ET21,EY21))</f>
        <v>N.D.</v>
      </c>
      <c r="FE21" s="1116"/>
      <c r="FF21" s="1116"/>
      <c r="FG21" s="1116"/>
      <c r="FH21" s="27"/>
    </row>
    <row r="22" spans="1:165" ht="30" customHeight="1" x14ac:dyDescent="0.25">
      <c r="D22" s="5" t="s">
        <v>430</v>
      </c>
      <c r="F22" s="124"/>
      <c r="I22" s="101" t="str">
        <f t="shared" si="2"/>
        <v>Ä</v>
      </c>
      <c r="J22" s="771" t="s">
        <v>376</v>
      </c>
      <c r="K22" s="771"/>
      <c r="L22" s="771"/>
      <c r="M22" s="771"/>
      <c r="N22" s="771"/>
      <c r="O22" s="771"/>
      <c r="P22" s="771"/>
      <c r="Q22" s="771"/>
      <c r="R22" s="771"/>
      <c r="S22" s="771"/>
      <c r="T22" s="771"/>
      <c r="U22" s="771"/>
      <c r="V22" s="771"/>
      <c r="W22" s="771"/>
      <c r="X22" s="771"/>
      <c r="Y22" s="1044"/>
      <c r="Z22" s="1044"/>
      <c r="AA22" s="1044"/>
      <c r="AB22" s="1044"/>
      <c r="AC22" s="1044"/>
      <c r="AD22" s="1044"/>
      <c r="AG22" s="585"/>
      <c r="AH22" s="585"/>
      <c r="AI22" s="585"/>
      <c r="AJ22" s="585"/>
      <c r="AK22" s="585"/>
      <c r="AL22" s="585"/>
      <c r="AM22" s="1063"/>
      <c r="AN22" s="1064"/>
      <c r="AO22" s="1064"/>
      <c r="AP22" s="1064"/>
      <c r="AQ22" s="1064"/>
      <c r="AR22" s="1064"/>
      <c r="AS22" s="1064"/>
      <c r="AT22" s="1064"/>
      <c r="AU22" s="1064"/>
      <c r="AV22" s="1064"/>
      <c r="AW22" s="1064"/>
      <c r="AX22" s="1064"/>
      <c r="AY22" s="1064"/>
      <c r="AZ22" s="1064"/>
      <c r="BA22" s="1065"/>
      <c r="BF22" s="638"/>
      <c r="BG22" s="16" t="str">
        <f t="shared" si="3"/>
        <v>Ä</v>
      </c>
      <c r="BH22" s="771" t="str">
        <f t="shared" si="4"/>
        <v>   Transport et entreposage</v>
      </c>
      <c r="BI22" s="771"/>
      <c r="BJ22" s="771"/>
      <c r="BK22" s="771"/>
      <c r="BL22" s="771"/>
      <c r="BM22" s="771"/>
      <c r="BN22" s="771"/>
      <c r="BO22" s="771"/>
      <c r="BP22" s="771"/>
      <c r="BQ22" s="771"/>
      <c r="BR22" s="771"/>
      <c r="BS22" s="771"/>
      <c r="BT22" s="771"/>
      <c r="BU22" s="771"/>
      <c r="BV22" s="771"/>
      <c r="BW22" s="1152">
        <f t="shared" si="1"/>
        <v>0</v>
      </c>
      <c r="BX22" s="1152"/>
      <c r="BY22" s="1152"/>
      <c r="BZ22" s="1152"/>
      <c r="CA22" s="1152"/>
      <c r="CB22" s="647"/>
      <c r="CC22" s="639"/>
      <c r="CE22" s="636"/>
      <c r="CG22" s="16" t="str">
        <f t="shared" si="5"/>
        <v>Ä</v>
      </c>
      <c r="CH22" s="771" t="str">
        <f t="shared" si="6"/>
        <v>   Transport et entreposage</v>
      </c>
      <c r="CI22" s="771"/>
      <c r="CJ22" s="771"/>
      <c r="CK22" s="771"/>
      <c r="CL22" s="771"/>
      <c r="CM22" s="771"/>
      <c r="CN22" s="771"/>
      <c r="CO22" s="771"/>
      <c r="CP22" s="771"/>
      <c r="CQ22" s="771"/>
      <c r="CR22" s="771"/>
      <c r="CS22" s="771"/>
      <c r="CT22" s="771"/>
      <c r="CU22" s="771"/>
      <c r="CV22" s="771"/>
      <c r="CW22" s="1044"/>
      <c r="CX22" s="1044"/>
      <c r="CY22" s="1044"/>
      <c r="CZ22" s="1044"/>
      <c r="DA22" s="1044"/>
      <c r="DB22" s="1044"/>
      <c r="DD22" s="636"/>
      <c r="DF22" s="124"/>
      <c r="DK22" s="5" t="str">
        <f t="shared" si="0"/>
        <v>SERV</v>
      </c>
      <c r="DN22" s="57">
        <f>IF(AND(ICI_emp_MRC_choix="Oui",CW25&lt;&gt;""),CW25*Paramètres!L$107,$BW$25*Paramètres!L$107)</f>
        <v>0</v>
      </c>
      <c r="DO22" s="5">
        <f>IF(AND(ICI_emp_MRC_choix="Oui",CW25&lt;&gt;""),CW25*Paramètres!L$108,$BW$25*Paramètres!L$108)</f>
        <v>0</v>
      </c>
      <c r="DP22" s="5">
        <f>IF(AND(ICI_emp_MRC_choix="Oui",CW25&lt;&gt;""),CW25*Paramètres!L$109,$BW$25*Paramètres!L$109)</f>
        <v>0</v>
      </c>
      <c r="DQ22" s="5">
        <f>IF(AND(ICI_emp_MRC_choix="Oui",CW25&lt;&gt;""),CW25*Paramètres!L$110,$BW$25*Paramètres!L$110)</f>
        <v>0</v>
      </c>
      <c r="DR22" s="27"/>
      <c r="DS22" s="5">
        <f>IF(AND(ICI_emp_MRC_choix="Oui",CW25&lt;&gt;""),CW25*Paramètres!L$112,$BW$25*Paramètres!L$112)</f>
        <v>0</v>
      </c>
      <c r="DT22" s="5">
        <f>IF(AND(ICI_emp_MRC_choix="Oui",CW25&lt;&gt;""),CW25*Paramètres!L$113,$BW$25*Paramètres!L$113)</f>
        <v>0</v>
      </c>
      <c r="DU22" s="27">
        <f>IF(AND(ICI_emp_MRC_choix="Oui",CW25&lt;&gt;""),CW25*Paramètres!L$114,$BW$25*Paramètres!L$114)</f>
        <v>0</v>
      </c>
      <c r="DW22" s="57">
        <f>IF(AND(ICI_emp_MRC_choix="Oui",CW25&lt;&gt;""),CW25*Paramètres!L$97,$BW$25*Paramètres!L$97)</f>
        <v>0</v>
      </c>
      <c r="DX22" s="5">
        <f>IF(AND(ICI_emp_MRC_choix="Oui",CW25&lt;&gt;""),CW25*Paramètres!L$98,$BW$25*Paramètres!L$98)</f>
        <v>0</v>
      </c>
      <c r="DY22" s="5">
        <f>IF(AND(ICI_emp_MRC_choix="Oui",CW25&lt;&gt;""),CW25*Paramètres!L$99,$BW$25*Paramètres!L$99)</f>
        <v>0</v>
      </c>
      <c r="DZ22" s="5">
        <f>IF(AND(ICI_emp_MRC_choix="Oui",CW25&lt;&gt;""),CW25*Paramètres!L$100,$BW$25*Paramètres!L$100)</f>
        <v>0</v>
      </c>
      <c r="EA22" s="27"/>
      <c r="EB22" s="5">
        <f>IF(AND(ICI_emp_MRC_choix="Oui",CW25&lt;&gt;""),CW25*Paramètres!L$102,$BW$25*Paramètres!L$102)</f>
        <v>0</v>
      </c>
      <c r="EC22" s="5">
        <f>IF(AND(ICI_emp_MRC_choix="Oui",CW25&lt;&gt;""),CW25*Paramètres!L$103,$BW$25*Paramètres!L$103)</f>
        <v>0</v>
      </c>
      <c r="ED22" s="27">
        <f>IF(AND(ICI_emp_MRC_choix="Oui",CW25&lt;&gt;""),CW25*Paramètres!L$104,$BW$25*Paramètres!L$104)</f>
        <v>0</v>
      </c>
      <c r="EK22" s="57"/>
      <c r="FH22" s="27"/>
    </row>
    <row r="23" spans="1:165" ht="15" customHeight="1" x14ac:dyDescent="0.25">
      <c r="D23" s="5" t="s">
        <v>431</v>
      </c>
      <c r="F23" s="124"/>
      <c r="I23" s="16" t="str">
        <f t="shared" si="2"/>
        <v>Ä</v>
      </c>
      <c r="J23" s="771" t="s">
        <v>377</v>
      </c>
      <c r="K23" s="771"/>
      <c r="L23" s="771"/>
      <c r="M23" s="771"/>
      <c r="N23" s="771"/>
      <c r="O23" s="771"/>
      <c r="P23" s="771"/>
      <c r="Q23" s="771"/>
      <c r="R23" s="771"/>
      <c r="S23" s="771"/>
      <c r="T23" s="771"/>
      <c r="U23" s="771"/>
      <c r="V23" s="771"/>
      <c r="W23" s="771"/>
      <c r="X23" s="771"/>
      <c r="Y23" s="1044"/>
      <c r="Z23" s="1044"/>
      <c r="AA23" s="1044"/>
      <c r="AB23" s="1044"/>
      <c r="AC23" s="1044"/>
      <c r="AD23" s="1044"/>
      <c r="AG23" s="585"/>
      <c r="AH23" s="585"/>
      <c r="AI23" s="585"/>
      <c r="AJ23" s="585"/>
      <c r="AK23" s="585"/>
      <c r="AL23" s="585"/>
      <c r="AM23" s="1063"/>
      <c r="AN23" s="1064"/>
      <c r="AO23" s="1064"/>
      <c r="AP23" s="1064"/>
      <c r="AQ23" s="1064"/>
      <c r="AR23" s="1064"/>
      <c r="AS23" s="1064"/>
      <c r="AT23" s="1064"/>
      <c r="AU23" s="1064"/>
      <c r="AV23" s="1064"/>
      <c r="AW23" s="1064"/>
      <c r="AX23" s="1064"/>
      <c r="AY23" s="1064"/>
      <c r="AZ23" s="1064"/>
      <c r="BA23" s="1065"/>
      <c r="BF23" s="638"/>
      <c r="BG23" s="16" t="str">
        <f t="shared" si="3"/>
        <v>Ä</v>
      </c>
      <c r="BH23" s="771" t="str">
        <f t="shared" si="4"/>
        <v>   Finance, assurances, immobilier et location</v>
      </c>
      <c r="BI23" s="771"/>
      <c r="BJ23" s="771"/>
      <c r="BK23" s="771"/>
      <c r="BL23" s="771"/>
      <c r="BM23" s="771"/>
      <c r="BN23" s="771"/>
      <c r="BO23" s="771"/>
      <c r="BP23" s="771"/>
      <c r="BQ23" s="771"/>
      <c r="BR23" s="771"/>
      <c r="BS23" s="771"/>
      <c r="BT23" s="771"/>
      <c r="BU23" s="771"/>
      <c r="BV23" s="771"/>
      <c r="BW23" s="1152">
        <f t="shared" si="1"/>
        <v>0</v>
      </c>
      <c r="BX23" s="1152"/>
      <c r="BY23" s="1152"/>
      <c r="BZ23" s="1152"/>
      <c r="CA23" s="1152"/>
      <c r="CB23" s="647"/>
      <c r="CC23" s="639"/>
      <c r="CE23" s="636"/>
      <c r="CG23" s="16" t="str">
        <f t="shared" si="5"/>
        <v>Ä</v>
      </c>
      <c r="CH23" s="771" t="str">
        <f t="shared" si="6"/>
        <v>   Finance, assurances, immobilier et location</v>
      </c>
      <c r="CI23" s="771"/>
      <c r="CJ23" s="771"/>
      <c r="CK23" s="771"/>
      <c r="CL23" s="771"/>
      <c r="CM23" s="771"/>
      <c r="CN23" s="771"/>
      <c r="CO23" s="771"/>
      <c r="CP23" s="771"/>
      <c r="CQ23" s="771"/>
      <c r="CR23" s="771"/>
      <c r="CS23" s="771"/>
      <c r="CT23" s="771"/>
      <c r="CU23" s="771"/>
      <c r="CV23" s="771"/>
      <c r="CW23" s="1044"/>
      <c r="CX23" s="1044"/>
      <c r="CY23" s="1044"/>
      <c r="CZ23" s="1044"/>
      <c r="DA23" s="1044"/>
      <c r="DB23" s="1044"/>
      <c r="DD23" s="636"/>
      <c r="DF23" s="124"/>
      <c r="DK23" s="5" t="str">
        <f t="shared" si="0"/>
        <v>ENS</v>
      </c>
      <c r="DN23" s="57">
        <f>IF(AND(ICI_emp_MRC_choix="Oui",CW26&lt;&gt;""),CW26*Paramètres!M$107,$BW$26*Paramètres!M$107)</f>
        <v>0</v>
      </c>
      <c r="DO23" s="5">
        <f>IF(AND(ICI_emp_MRC_choix="Oui",CW26&lt;&gt;""),CW26*Paramètres!M$108,$BW$26*Paramètres!M$108)</f>
        <v>0</v>
      </c>
      <c r="DP23" s="5">
        <f>IF(AND(ICI_emp_MRC_choix="Oui",CW26&lt;&gt;""),CW26*Paramètres!M$109,$BW$26*Paramètres!M$109)</f>
        <v>0</v>
      </c>
      <c r="DQ23" s="5">
        <f>IF(AND(ICI_emp_MRC_choix="Oui",CW26&lt;&gt;""),CW26*Paramètres!M$110,$BW$26*Paramètres!M$110)</f>
        <v>0</v>
      </c>
      <c r="DR23" s="27"/>
      <c r="DS23" s="5">
        <f>IF(AND(ICI_emp_MRC_choix="Oui",CW26&lt;&gt;""),CW26*Paramètres!M$112,$BW$26*Paramètres!M$112)</f>
        <v>0</v>
      </c>
      <c r="DT23" s="5">
        <f>IF(AND(ICI_emp_MRC_choix="Oui",CW26&lt;&gt;""),CW26*Paramètres!M$113,$BW$26*Paramètres!M$113)</f>
        <v>0</v>
      </c>
      <c r="DU23" s="27">
        <f>IF(AND(ICI_emp_MRC_choix="Oui",CW26&lt;&gt;""),CW26*Paramètres!M$114,$BW$26*Paramètres!M$114)</f>
        <v>0</v>
      </c>
      <c r="DW23" s="57">
        <f>IF(AND(ICI_emp_MRC_choix="Oui",CW26&lt;&gt;""),CW26*Paramètres!M$97,$BW$26*Paramètres!M$97)</f>
        <v>0</v>
      </c>
      <c r="DX23" s="5">
        <f>IF(AND(ICI_emp_MRC_choix="Oui",CW26&lt;&gt;""),CW26*Paramètres!M$98,$BW$26*Paramètres!M$98)</f>
        <v>0</v>
      </c>
      <c r="DY23" s="5">
        <f>IF(AND(ICI_emp_MRC_choix="Oui",CW26&lt;&gt;""),CW26*Paramètres!M$99,$BW$26*Paramètres!M$99)</f>
        <v>0</v>
      </c>
      <c r="DZ23" s="5">
        <f>IF(AND(ICI_emp_MRC_choix="Oui",CW26&lt;&gt;""),CW26*Paramètres!M$100,$BW$26*Paramètres!M$100)</f>
        <v>0</v>
      </c>
      <c r="EA23" s="27"/>
      <c r="EB23" s="5">
        <f>IF(AND(ICI_emp_MRC_choix="Oui",CW26&lt;&gt;""),CW26*Paramètres!M$102,$BW$26*Paramètres!M$102)</f>
        <v>0</v>
      </c>
      <c r="EC23" s="5">
        <f>IF(AND(ICI_emp_MRC_choix="Oui",CW26&lt;&gt;""),CW26*Paramètres!M$103,$BW$26*Paramètres!M$103)</f>
        <v>0</v>
      </c>
      <c r="ED23" s="27">
        <f>IF(AND(ICI_emp_MRC_choix="Oui",CW26&lt;&gt;""),CW26*Paramètres!M$104,$BW$26*Paramètres!M$104)</f>
        <v>0</v>
      </c>
      <c r="EK23" s="57"/>
      <c r="EL23" s="1026" t="s">
        <v>12</v>
      </c>
      <c r="EM23" s="1026"/>
      <c r="EN23" s="1026"/>
      <c r="EO23" s="1026"/>
      <c r="EP23" s="1026"/>
      <c r="EQ23" s="1026"/>
      <c r="ER23" s="1026"/>
      <c r="ES23" s="1026"/>
      <c r="ET23" s="1039" t="str">
        <f>IF(ET19=N.D.,N.D.,SUM(ET19:ET21))</f>
        <v>N.D.</v>
      </c>
      <c r="EU23" s="1039"/>
      <c r="EV23" s="1039"/>
      <c r="EW23" s="1039"/>
      <c r="EX23" s="198"/>
      <c r="EY23" s="1039" t="str">
        <f>IF(EY19=N.D.,N.D.,SUM(EY19:EY21))</f>
        <v>N.D.</v>
      </c>
      <c r="EZ23" s="1039"/>
      <c r="FA23" s="1039"/>
      <c r="FB23" s="1039"/>
      <c r="FC23" s="198"/>
      <c r="FD23" s="1039" t="str">
        <f>IF(ET23=N.D.,N.D.,SUM(ET23,EY23))</f>
        <v>N.D.</v>
      </c>
      <c r="FE23" s="1039"/>
      <c r="FF23" s="1039"/>
      <c r="FG23" s="1039"/>
      <c r="FH23" s="27"/>
    </row>
    <row r="24" spans="1:165" ht="15" customHeight="1" x14ac:dyDescent="0.25">
      <c r="D24" s="5" t="s">
        <v>432</v>
      </c>
      <c r="F24" s="124"/>
      <c r="I24" s="16" t="str">
        <f t="shared" si="2"/>
        <v>Ä</v>
      </c>
      <c r="J24" s="771" t="s">
        <v>378</v>
      </c>
      <c r="K24" s="771"/>
      <c r="L24" s="771"/>
      <c r="M24" s="771"/>
      <c r="N24" s="771"/>
      <c r="O24" s="771"/>
      <c r="P24" s="771"/>
      <c r="Q24" s="771"/>
      <c r="R24" s="771"/>
      <c r="S24" s="771"/>
      <c r="T24" s="771"/>
      <c r="U24" s="771"/>
      <c r="V24" s="771"/>
      <c r="W24" s="771"/>
      <c r="X24" s="771"/>
      <c r="Y24" s="1044"/>
      <c r="Z24" s="1044"/>
      <c r="AA24" s="1044"/>
      <c r="AB24" s="1044"/>
      <c r="AC24" s="1044"/>
      <c r="AD24" s="1044"/>
      <c r="AG24" s="585"/>
      <c r="AH24" s="585"/>
      <c r="AI24" s="585"/>
      <c r="AJ24" s="585"/>
      <c r="AK24" s="585"/>
      <c r="AL24" s="585"/>
      <c r="AM24" s="1063"/>
      <c r="AN24" s="1064"/>
      <c r="AO24" s="1064"/>
      <c r="AP24" s="1064"/>
      <c r="AQ24" s="1064"/>
      <c r="AR24" s="1064"/>
      <c r="AS24" s="1064"/>
      <c r="AT24" s="1064"/>
      <c r="AU24" s="1064"/>
      <c r="AV24" s="1064"/>
      <c r="AW24" s="1064"/>
      <c r="AX24" s="1064"/>
      <c r="AY24" s="1064"/>
      <c r="AZ24" s="1064"/>
      <c r="BA24" s="1065"/>
      <c r="BF24" s="638"/>
      <c r="BG24" s="16" t="str">
        <f t="shared" si="3"/>
        <v>Ä</v>
      </c>
      <c r="BH24" s="771" t="str">
        <f t="shared" si="4"/>
        <v>   Services professionnels, scientifiques et techniques</v>
      </c>
      <c r="BI24" s="771"/>
      <c r="BJ24" s="771"/>
      <c r="BK24" s="771"/>
      <c r="BL24" s="771"/>
      <c r="BM24" s="771"/>
      <c r="BN24" s="771"/>
      <c r="BO24" s="771"/>
      <c r="BP24" s="771"/>
      <c r="BQ24" s="771"/>
      <c r="BR24" s="771"/>
      <c r="BS24" s="771"/>
      <c r="BT24" s="771"/>
      <c r="BU24" s="771"/>
      <c r="BV24" s="771"/>
      <c r="BW24" s="1152">
        <f t="shared" si="1"/>
        <v>0</v>
      </c>
      <c r="BX24" s="1152"/>
      <c r="BY24" s="1152"/>
      <c r="BZ24" s="1152"/>
      <c r="CA24" s="1152"/>
      <c r="CB24" s="647"/>
      <c r="CC24" s="639"/>
      <c r="CE24" s="636"/>
      <c r="CG24" s="16" t="str">
        <f t="shared" si="5"/>
        <v>Ä</v>
      </c>
      <c r="CH24" s="771" t="str">
        <f t="shared" si="6"/>
        <v>   Services professionnels, scientifiques et techniques</v>
      </c>
      <c r="CI24" s="771"/>
      <c r="CJ24" s="771"/>
      <c r="CK24" s="771"/>
      <c r="CL24" s="771"/>
      <c r="CM24" s="771"/>
      <c r="CN24" s="771"/>
      <c r="CO24" s="771"/>
      <c r="CP24" s="771"/>
      <c r="CQ24" s="771"/>
      <c r="CR24" s="771"/>
      <c r="CS24" s="771"/>
      <c r="CT24" s="771"/>
      <c r="CU24" s="771"/>
      <c r="CV24" s="771"/>
      <c r="CW24" s="1044"/>
      <c r="CX24" s="1044"/>
      <c r="CY24" s="1044"/>
      <c r="CZ24" s="1044"/>
      <c r="DA24" s="1044"/>
      <c r="DB24" s="1044"/>
      <c r="DD24" s="636"/>
      <c r="DF24" s="124"/>
      <c r="DK24" s="5" t="str">
        <f t="shared" si="0"/>
        <v>SOIN</v>
      </c>
      <c r="DN24" s="57">
        <f>IF(AND(ICI_emp_MRC_choix="Oui",CW27&lt;&gt;""),CW27*Paramètres!N$107,$BW$27*Paramètres!N$107)</f>
        <v>0</v>
      </c>
      <c r="DO24" s="5">
        <f>IF(AND(ICI_emp_MRC_choix="Oui",CW27&lt;&gt;""),CW27*Paramètres!N$108,$BW$27*Paramètres!N$108)</f>
        <v>0</v>
      </c>
      <c r="DP24" s="5">
        <f>IF(AND(ICI_emp_MRC_choix="Oui",CW27&lt;&gt;""),CW27*Paramètres!N$109,$BW$27*Paramètres!N$109)</f>
        <v>0</v>
      </c>
      <c r="DQ24" s="5">
        <f>IF(AND(ICI_emp_MRC_choix="Oui",CW27&lt;&gt;""),CW27*Paramètres!N$110,$BW$27*Paramètres!N$110)</f>
        <v>0</v>
      </c>
      <c r="DR24" s="27"/>
      <c r="DS24" s="5">
        <f>IF(AND(ICI_emp_MRC_choix="Oui",CW27&lt;&gt;""),CW27*Paramètres!N$112,$BW$27*Paramètres!N$112)</f>
        <v>0</v>
      </c>
      <c r="DT24" s="5">
        <f>IF(AND(ICI_emp_MRC_choix="Oui",CW27&lt;&gt;""),CW27*Paramètres!N$113,$BW$27*Paramètres!N$113)</f>
        <v>0</v>
      </c>
      <c r="DU24" s="27">
        <f>IF(AND(ICI_emp_MRC_choix="Oui",CW27&lt;&gt;""),CW27*Paramètres!N$114,$BW$27*Paramètres!N$114)</f>
        <v>0</v>
      </c>
      <c r="DW24" s="57">
        <f>IF(AND(ICI_emp_MRC_choix="Oui",CW27&lt;&gt;""),CW27*Paramètres!N$97,$BW$27*Paramètres!N$97)</f>
        <v>0</v>
      </c>
      <c r="DX24" s="5">
        <f>IF(AND(ICI_emp_MRC_choix="Oui",CW27&lt;&gt;""),CW27*Paramètres!N$98,$BW$27*Paramètres!N$98)</f>
        <v>0</v>
      </c>
      <c r="DY24" s="5">
        <f>IF(AND(ICI_emp_MRC_choix="Oui",CW27&lt;&gt;""),CW27*Paramètres!N$99,$BW$27*Paramètres!N$99)</f>
        <v>0</v>
      </c>
      <c r="DZ24" s="5">
        <f>IF(AND(ICI_emp_MRC_choix="Oui",CW27&lt;&gt;""),CW27*Paramètres!N$100,$BW$27*Paramètres!N$100)</f>
        <v>0</v>
      </c>
      <c r="EA24" s="27"/>
      <c r="EB24" s="5">
        <f>IF(AND(ICI_emp_MRC_choix="Oui",CW27&lt;&gt;""),CW27*Paramètres!N$102,$BW$27*Paramètres!N$102)</f>
        <v>0</v>
      </c>
      <c r="EC24" s="5">
        <f>IF(AND(ICI_emp_MRC_choix="Oui",CW27&lt;&gt;""),CW27*Paramètres!N$103,$BW$27*Paramètres!N$103)</f>
        <v>0</v>
      </c>
      <c r="ED24" s="27">
        <f>IF(AND(ICI_emp_MRC_choix="Oui",CW27&lt;&gt;""),CW27*Paramètres!N$104,$BW$27*Paramètres!N$104)</f>
        <v>0</v>
      </c>
      <c r="EK24" s="57"/>
      <c r="FH24" s="27"/>
    </row>
    <row r="25" spans="1:165" ht="29.25" customHeight="1" thickBot="1" x14ac:dyDescent="0.3">
      <c r="D25" s="5" t="s">
        <v>430</v>
      </c>
      <c r="F25" s="124"/>
      <c r="I25" s="16" t="str">
        <f t="shared" si="2"/>
        <v>Ä</v>
      </c>
      <c r="J25" s="771" t="s">
        <v>379</v>
      </c>
      <c r="K25" s="771"/>
      <c r="L25" s="771"/>
      <c r="M25" s="771"/>
      <c r="N25" s="771"/>
      <c r="O25" s="771"/>
      <c r="P25" s="771"/>
      <c r="Q25" s="771"/>
      <c r="R25" s="771"/>
      <c r="S25" s="771"/>
      <c r="T25" s="771"/>
      <c r="U25" s="771"/>
      <c r="V25" s="771"/>
      <c r="W25" s="771"/>
      <c r="X25" s="771"/>
      <c r="Y25" s="1044"/>
      <c r="Z25" s="1044"/>
      <c r="AA25" s="1044"/>
      <c r="AB25" s="1044"/>
      <c r="AC25" s="1044"/>
      <c r="AD25" s="1044"/>
      <c r="AG25" s="585"/>
      <c r="AH25" s="585"/>
      <c r="AI25" s="585"/>
      <c r="AJ25" s="585"/>
      <c r="AK25" s="585"/>
      <c r="AL25" s="585"/>
      <c r="AM25" s="1066"/>
      <c r="AN25" s="1067"/>
      <c r="AO25" s="1067"/>
      <c r="AP25" s="1067"/>
      <c r="AQ25" s="1067"/>
      <c r="AR25" s="1067"/>
      <c r="AS25" s="1067"/>
      <c r="AT25" s="1067"/>
      <c r="AU25" s="1067"/>
      <c r="AV25" s="1067"/>
      <c r="AW25" s="1067"/>
      <c r="AX25" s="1067"/>
      <c r="AY25" s="1067"/>
      <c r="AZ25" s="1067"/>
      <c r="BA25" s="1068"/>
      <c r="BF25" s="638"/>
      <c r="BG25" s="101" t="str">
        <f t="shared" si="3"/>
        <v>Ä</v>
      </c>
      <c r="BH25" s="771" t="str">
        <f t="shared" si="4"/>
        <v>   Services aux entreprises, services relatifs aux bâtiments et autres services de soutien</v>
      </c>
      <c r="BI25" s="771"/>
      <c r="BJ25" s="771"/>
      <c r="BK25" s="771"/>
      <c r="BL25" s="771"/>
      <c r="BM25" s="771"/>
      <c r="BN25" s="771"/>
      <c r="BO25" s="771"/>
      <c r="BP25" s="771"/>
      <c r="BQ25" s="771"/>
      <c r="BR25" s="771"/>
      <c r="BS25" s="771"/>
      <c r="BT25" s="771"/>
      <c r="BU25" s="771"/>
      <c r="BV25" s="771"/>
      <c r="BW25" s="1152">
        <f t="shared" si="1"/>
        <v>0</v>
      </c>
      <c r="BX25" s="1152"/>
      <c r="BY25" s="1152"/>
      <c r="BZ25" s="1152"/>
      <c r="CA25" s="1152"/>
      <c r="CB25" s="647"/>
      <c r="CC25" s="639"/>
      <c r="CE25" s="636"/>
      <c r="CG25" s="101" t="str">
        <f t="shared" si="5"/>
        <v>Ä</v>
      </c>
      <c r="CH25" s="771" t="str">
        <f t="shared" si="6"/>
        <v>   Services aux entreprises, services relatifs aux bâtiments et autres services de soutien</v>
      </c>
      <c r="CI25" s="771"/>
      <c r="CJ25" s="771"/>
      <c r="CK25" s="771"/>
      <c r="CL25" s="771"/>
      <c r="CM25" s="771"/>
      <c r="CN25" s="771"/>
      <c r="CO25" s="771"/>
      <c r="CP25" s="771"/>
      <c r="CQ25" s="771"/>
      <c r="CR25" s="771"/>
      <c r="CS25" s="771"/>
      <c r="CT25" s="771"/>
      <c r="CU25" s="771"/>
      <c r="CV25" s="771"/>
      <c r="CW25" s="1044"/>
      <c r="CX25" s="1044"/>
      <c r="CY25" s="1044"/>
      <c r="CZ25" s="1044"/>
      <c r="DA25" s="1044"/>
      <c r="DB25" s="1044"/>
      <c r="DD25" s="636"/>
      <c r="DF25" s="124"/>
      <c r="DK25" s="5" t="str">
        <f t="shared" si="0"/>
        <v>SERV</v>
      </c>
      <c r="DN25" s="57">
        <f>IF(AND(ICI_emp_MRC_choix="Oui",CW28&lt;&gt;""),CW28*Paramètres!L$107,$BW$28*Paramètres!L$107)</f>
        <v>0</v>
      </c>
      <c r="DO25" s="5">
        <f>IF(AND(ICI_emp_MRC_choix="Oui",CW28&lt;&gt;""),CW28*Paramètres!L$108,$BW$28*Paramètres!L$108)</f>
        <v>0</v>
      </c>
      <c r="DP25" s="5">
        <f>IF(AND(ICI_emp_MRC_choix="Oui",CW28&lt;&gt;""),CW28*Paramètres!L$109,$BW$28*Paramètres!L$109)</f>
        <v>0</v>
      </c>
      <c r="DQ25" s="5">
        <f>IF(AND(ICI_emp_MRC_choix="Oui",CW28&lt;&gt;""),CW28*Paramètres!L$110,$BW$28*Paramètres!L$110)</f>
        <v>0</v>
      </c>
      <c r="DR25" s="27"/>
      <c r="DS25" s="5">
        <f>IF(AND(ICI_emp_MRC_choix="Oui",CW28&lt;&gt;""),CW28*Paramètres!L$112,$BW$28*Paramètres!L$112)</f>
        <v>0</v>
      </c>
      <c r="DT25" s="5">
        <f>IF(AND(ICI_emp_MRC_choix="Oui",CW28&lt;&gt;""),CW28*Paramètres!L$113,$BW$28*Paramètres!L$113)</f>
        <v>0</v>
      </c>
      <c r="DU25" s="27">
        <f>IF(AND(ICI_emp_MRC_choix="Oui",CW28&lt;&gt;""),CW28*Paramètres!L$114,$BW$28*Paramètres!L$114)</f>
        <v>0</v>
      </c>
      <c r="DW25" s="57">
        <f>IF(AND(ICI_emp_MRC_choix="Oui",CW28&lt;&gt;""),CW28*Paramètres!L$97,$BW$28*Paramètres!L$97)</f>
        <v>0</v>
      </c>
      <c r="DX25" s="5">
        <f>IF(AND(ICI_emp_MRC_choix="Oui",CW28&lt;&gt;""),CW28*Paramètres!L$98,$BW$28*Paramètres!L$98)</f>
        <v>0</v>
      </c>
      <c r="DY25" s="5">
        <f>IF(AND(ICI_emp_MRC_choix="Oui",CW28&lt;&gt;""),CW28*Paramètres!L$99,$BW$28*Paramètres!L$99)</f>
        <v>0</v>
      </c>
      <c r="DZ25" s="5">
        <f>IF(AND(ICI_emp_MRC_choix="Oui",CW28&lt;&gt;""),CW28*Paramètres!L$100,$BW$28*Paramètres!L$100)</f>
        <v>0</v>
      </c>
      <c r="EA25" s="27"/>
      <c r="EB25" s="5">
        <f>IF(AND(ICI_emp_MRC_choix="Oui",CW28&lt;&gt;""),CW28*Paramètres!L$102,$BW$28*Paramètres!L$102)</f>
        <v>0</v>
      </c>
      <c r="EC25" s="5">
        <f>IF(AND(ICI_emp_MRC_choix="Oui",CW28&lt;&gt;""),CW28*Paramètres!L$103,$BW$28*Paramètres!L$103)</f>
        <v>0</v>
      </c>
      <c r="ED25" s="27">
        <f>IF(AND(ICI_emp_MRC_choix="Oui",CW28&lt;&gt;""),CW28*Paramètres!L$104,$BW$28*Paramètres!L$104)</f>
        <v>0</v>
      </c>
      <c r="EK25" s="58"/>
      <c r="EL25" s="34"/>
      <c r="EM25" s="34"/>
      <c r="EN25" s="34"/>
      <c r="EO25" s="34"/>
      <c r="EP25" s="34"/>
      <c r="EQ25" s="34"/>
      <c r="ER25" s="34"/>
      <c r="ES25" s="34"/>
      <c r="ET25" s="34"/>
      <c r="EU25" s="34"/>
      <c r="EV25" s="34"/>
      <c r="EW25" s="34"/>
      <c r="EX25" s="34"/>
      <c r="EY25" s="34"/>
      <c r="EZ25" s="34"/>
      <c r="FA25" s="34"/>
      <c r="FB25" s="34"/>
      <c r="FC25" s="34"/>
      <c r="FD25" s="34"/>
      <c r="FE25" s="34"/>
      <c r="FF25" s="34"/>
      <c r="FG25" s="34"/>
      <c r="FH25" s="35"/>
    </row>
    <row r="26" spans="1:165" ht="29.25" customHeight="1" x14ac:dyDescent="0.25">
      <c r="D26" s="5" t="s">
        <v>406</v>
      </c>
      <c r="F26" s="124"/>
      <c r="I26" s="16" t="str">
        <f t="shared" si="2"/>
        <v>Ä</v>
      </c>
      <c r="J26" s="771" t="s">
        <v>380</v>
      </c>
      <c r="K26" s="771"/>
      <c r="L26" s="771"/>
      <c r="M26" s="771"/>
      <c r="N26" s="771"/>
      <c r="O26" s="771"/>
      <c r="P26" s="771"/>
      <c r="Q26" s="771"/>
      <c r="R26" s="771"/>
      <c r="S26" s="771"/>
      <c r="T26" s="771"/>
      <c r="U26" s="771"/>
      <c r="V26" s="771"/>
      <c r="W26" s="771"/>
      <c r="X26" s="771"/>
      <c r="Y26" s="1044"/>
      <c r="Z26" s="1044"/>
      <c r="AA26" s="1044"/>
      <c r="AB26" s="1044"/>
      <c r="AC26" s="1044"/>
      <c r="AD26" s="1044"/>
      <c r="AM26" s="304"/>
      <c r="AN26" s="304"/>
      <c r="AO26" s="304"/>
      <c r="AP26" s="304"/>
      <c r="AQ26" s="304"/>
      <c r="AR26" s="304"/>
      <c r="AS26" s="304"/>
      <c r="AT26" s="304"/>
      <c r="AU26" s="304"/>
      <c r="AV26" s="304"/>
      <c r="AW26" s="304"/>
      <c r="AX26" s="304"/>
      <c r="AY26" s="304"/>
      <c r="AZ26" s="304"/>
      <c r="BA26" s="304"/>
      <c r="BF26" s="638"/>
      <c r="BG26" s="16" t="str">
        <f t="shared" si="3"/>
        <v>Ä</v>
      </c>
      <c r="BH26" s="771" t="str">
        <f t="shared" si="4"/>
        <v>   Services d'enseignement</v>
      </c>
      <c r="BI26" s="771"/>
      <c r="BJ26" s="771"/>
      <c r="BK26" s="771"/>
      <c r="BL26" s="771"/>
      <c r="BM26" s="771"/>
      <c r="BN26" s="771"/>
      <c r="BO26" s="771"/>
      <c r="BP26" s="771"/>
      <c r="BQ26" s="771"/>
      <c r="BR26" s="771"/>
      <c r="BS26" s="771"/>
      <c r="BT26" s="771"/>
      <c r="BU26" s="771"/>
      <c r="BV26" s="771"/>
      <c r="BW26" s="1152">
        <f t="shared" si="1"/>
        <v>0</v>
      </c>
      <c r="BX26" s="1152"/>
      <c r="BY26" s="1152"/>
      <c r="BZ26" s="1152"/>
      <c r="CA26" s="1152"/>
      <c r="CB26" s="647"/>
      <c r="CC26" s="639"/>
      <c r="CE26" s="636"/>
      <c r="CG26" s="16" t="str">
        <f t="shared" si="5"/>
        <v>Ä</v>
      </c>
      <c r="CH26" s="771" t="str">
        <f t="shared" si="6"/>
        <v>   Services d'enseignement</v>
      </c>
      <c r="CI26" s="771"/>
      <c r="CJ26" s="771"/>
      <c r="CK26" s="771"/>
      <c r="CL26" s="771"/>
      <c r="CM26" s="771"/>
      <c r="CN26" s="771"/>
      <c r="CO26" s="771"/>
      <c r="CP26" s="771"/>
      <c r="CQ26" s="771"/>
      <c r="CR26" s="771"/>
      <c r="CS26" s="771"/>
      <c r="CT26" s="771"/>
      <c r="CU26" s="771"/>
      <c r="CV26" s="771"/>
      <c r="CW26" s="1044"/>
      <c r="CX26" s="1044"/>
      <c r="CY26" s="1044"/>
      <c r="CZ26" s="1044"/>
      <c r="DA26" s="1044"/>
      <c r="DB26" s="1044"/>
      <c r="DD26" s="636"/>
      <c r="DF26" s="124"/>
      <c r="DK26" s="5" t="str">
        <f t="shared" si="0"/>
        <v>HR</v>
      </c>
      <c r="DN26" s="57">
        <f>IF(AND(ICI_emp_MRC_choix="Oui",CW29&lt;&gt;""),CW29*Paramètres!J$107,$BW$29*Paramètres!J$107)</f>
        <v>0</v>
      </c>
      <c r="DO26" s="5">
        <f>IF(AND(ICI_emp_MRC_choix="Oui",CW29&lt;&gt;""),CW29*Paramètres!J$108,$BW$29*Paramètres!J$108)</f>
        <v>0</v>
      </c>
      <c r="DP26" s="5">
        <f>IF(AND(ICI_emp_MRC_choix="Oui",CW29&lt;&gt;""),CW29*Paramètres!J$109,$BW$29*Paramètres!J$109)</f>
        <v>0</v>
      </c>
      <c r="DQ26" s="5">
        <f>IF(AND(ICI_emp_MRC_choix="Oui",CW29&lt;&gt;""),CW29*Paramètres!J$110,$BW$29*Paramètres!J$110)</f>
        <v>0</v>
      </c>
      <c r="DR26" s="27"/>
      <c r="DS26" s="5">
        <f>IF(AND(ICI_emp_MRC_choix="Oui",CW29&lt;&gt;""),CW29*Paramètres!J$112,$BW$29*Paramètres!J$112)</f>
        <v>0</v>
      </c>
      <c r="DT26" s="5">
        <f>IF(AND(ICI_emp_MRC_choix="Oui",CW29&lt;&gt;""),CW29*Paramètres!J$113,$BW$29*Paramètres!J$113)</f>
        <v>0</v>
      </c>
      <c r="DU26" s="27">
        <f>IF(AND(ICI_emp_MRC_choix="Oui",CW29&lt;&gt;""),CW29*Paramètres!J$114,$BW$29*Paramètres!J$114)</f>
        <v>0</v>
      </c>
      <c r="DW26" s="57">
        <f>IF(AND(ICI_emp_MRC_choix="Oui",CW29&lt;&gt;""),CW29*Paramètres!J$97,$BW$29*Paramètres!J$97)</f>
        <v>0</v>
      </c>
      <c r="DX26" s="5">
        <f>IF(AND(ICI_emp_MRC_choix="Oui",CW29&lt;&gt;""),CW29*Paramètres!J$98,$BW$29*Paramètres!J$98)</f>
        <v>0</v>
      </c>
      <c r="DY26" s="5">
        <f>IF(AND(ICI_emp_MRC_choix="Oui",CW29&lt;&gt;""),CW29*Paramètres!J$99,$BW$29*Paramètres!J$99)</f>
        <v>0</v>
      </c>
      <c r="DZ26" s="5">
        <f>IF(AND(ICI_emp_MRC_choix="Oui",CW29&lt;&gt;""),CW29*Paramètres!J$100,$BW$29*Paramètres!J$100)</f>
        <v>0</v>
      </c>
      <c r="EA26" s="27"/>
      <c r="EB26" s="5">
        <f>IF(AND(ICI_emp_MRC_choix="Oui",CW29&lt;&gt;""),CW29*Paramètres!J$102,$BW$29*Paramètres!J$102)</f>
        <v>0</v>
      </c>
      <c r="EC26" s="5">
        <f>IF(AND(ICI_emp_MRC_choix="Oui",CW29&lt;&gt;""),CW29*Paramètres!J$103,$BW$29*Paramètres!J$103)</f>
        <v>0</v>
      </c>
      <c r="ED26" s="27">
        <f>IF(AND(ICI_emp_MRC_choix="Oui",CW29&lt;&gt;""),CW29*Paramètres!J$104,$BW$29*Paramètres!J$104)</f>
        <v>0</v>
      </c>
    </row>
    <row r="27" spans="1:165" ht="15" customHeight="1" x14ac:dyDescent="0.25">
      <c r="B27" s="5">
        <f>COUNTBLANK(Y10:Y28)</f>
        <v>19</v>
      </c>
      <c r="D27" s="5" t="s">
        <v>430</v>
      </c>
      <c r="F27" s="124"/>
      <c r="I27" s="16" t="str">
        <f t="shared" si="2"/>
        <v>Ä</v>
      </c>
      <c r="J27" s="771" t="s">
        <v>381</v>
      </c>
      <c r="K27" s="771"/>
      <c r="L27" s="771"/>
      <c r="M27" s="771"/>
      <c r="N27" s="771"/>
      <c r="O27" s="771"/>
      <c r="P27" s="771"/>
      <c r="Q27" s="771"/>
      <c r="R27" s="771"/>
      <c r="S27" s="771"/>
      <c r="T27" s="771"/>
      <c r="U27" s="771"/>
      <c r="V27" s="771"/>
      <c r="W27" s="771"/>
      <c r="X27" s="771"/>
      <c r="Y27" s="1044"/>
      <c r="Z27" s="1044"/>
      <c r="AA27" s="1044"/>
      <c r="AB27" s="1044"/>
      <c r="AC27" s="1044"/>
      <c r="AD27" s="1044"/>
      <c r="AM27" s="1069" t="str">
        <f>IF(FK11="Non","Vous avez indiqué à la section "&amp;'Données - Résidentiel'!J30&amp;" qu'il n'y a pas d'ICI collectés dans la collecte sélective municipale.",IF(FK11="Oui","Vous avez indiqué à la section "&amp;'Données - Résidentiel'!J30&amp;" qu'il y a des ICI collectés dans la collecte sélective municipale. Si vous utilisez vos propres données, n’oubliez pas d’ajouter leurs tonnages à ceux des ICI non desservis par les collectes municipales, lorsqu’applicable.",""))</f>
        <v/>
      </c>
      <c r="AN27" s="1069"/>
      <c r="AO27" s="1069"/>
      <c r="AP27" s="1069"/>
      <c r="AQ27" s="1069"/>
      <c r="AR27" s="1069"/>
      <c r="AS27" s="1069"/>
      <c r="AT27" s="1069"/>
      <c r="AU27" s="1069"/>
      <c r="AV27" s="1069"/>
      <c r="AW27" s="1069"/>
      <c r="AX27" s="1069"/>
      <c r="AY27" s="1069"/>
      <c r="AZ27" s="1069"/>
      <c r="BA27" s="1069"/>
      <c r="BF27" s="638"/>
      <c r="BG27" s="16" t="str">
        <f t="shared" si="3"/>
        <v>Ä</v>
      </c>
      <c r="BH27" s="771" t="str">
        <f t="shared" si="4"/>
        <v>   Soins de santé et assistance sociale</v>
      </c>
      <c r="BI27" s="771"/>
      <c r="BJ27" s="771"/>
      <c r="BK27" s="771"/>
      <c r="BL27" s="771"/>
      <c r="BM27" s="771"/>
      <c r="BN27" s="771"/>
      <c r="BO27" s="771"/>
      <c r="BP27" s="771"/>
      <c r="BQ27" s="771"/>
      <c r="BR27" s="771"/>
      <c r="BS27" s="771"/>
      <c r="BT27" s="771"/>
      <c r="BU27" s="771"/>
      <c r="BV27" s="771"/>
      <c r="BW27" s="1152">
        <f t="shared" si="1"/>
        <v>0</v>
      </c>
      <c r="BX27" s="1152"/>
      <c r="BY27" s="1152"/>
      <c r="BZ27" s="1152"/>
      <c r="CA27" s="1152"/>
      <c r="CB27" s="647"/>
      <c r="CC27" s="639"/>
      <c r="CE27" s="636"/>
      <c r="CG27" s="16" t="str">
        <f t="shared" si="5"/>
        <v>Ä</v>
      </c>
      <c r="CH27" s="771" t="str">
        <f t="shared" si="6"/>
        <v>   Soins de santé et assistance sociale</v>
      </c>
      <c r="CI27" s="771"/>
      <c r="CJ27" s="771"/>
      <c r="CK27" s="771"/>
      <c r="CL27" s="771"/>
      <c r="CM27" s="771"/>
      <c r="CN27" s="771"/>
      <c r="CO27" s="771"/>
      <c r="CP27" s="771"/>
      <c r="CQ27" s="771"/>
      <c r="CR27" s="771"/>
      <c r="CS27" s="771"/>
      <c r="CT27" s="771"/>
      <c r="CU27" s="771"/>
      <c r="CV27" s="771"/>
      <c r="CW27" s="1044"/>
      <c r="CX27" s="1044"/>
      <c r="CY27" s="1044"/>
      <c r="CZ27" s="1044"/>
      <c r="DA27" s="1044"/>
      <c r="DB27" s="1044"/>
      <c r="DD27" s="636"/>
      <c r="DF27" s="124"/>
      <c r="DK27" s="5" t="str">
        <f t="shared" si="0"/>
        <v>SERV</v>
      </c>
      <c r="DN27" s="57">
        <f>IF(AND(ICI_emp_MRC_choix="Oui",CW30&lt;&gt;""),CW30*Paramètres!L$107,$BW$30*Paramètres!L$107)</f>
        <v>0</v>
      </c>
      <c r="DO27" s="5">
        <f>IF(AND(ICI_emp_MRC_choix="Oui",CW30&lt;&gt;""),CW30*Paramètres!L$108,$BW$30*Paramètres!L$108)</f>
        <v>0</v>
      </c>
      <c r="DP27" s="5">
        <f>IF(AND(ICI_emp_MRC_choix="Oui",CW30&lt;&gt;""),CW30*Paramètres!L$109,$BW$30*Paramètres!L$109)</f>
        <v>0</v>
      </c>
      <c r="DQ27" s="5">
        <f>IF(AND(ICI_emp_MRC_choix="Oui",CW30&lt;&gt;""),CW30*Paramètres!L$110,$BW$30*Paramètres!L$110)</f>
        <v>0</v>
      </c>
      <c r="DR27" s="27"/>
      <c r="DS27" s="5">
        <f>IF(AND(ICI_emp_MRC_choix="Oui",CW30&lt;&gt;""),CW30*Paramètres!L$112,$BW$30*Paramètres!L$112)</f>
        <v>0</v>
      </c>
      <c r="DT27" s="5">
        <f>IF(AND(ICI_emp_MRC_choix="Oui",CW30&lt;&gt;""),CW30*Paramètres!L$113,$BW$30*Paramètres!L$113)</f>
        <v>0</v>
      </c>
      <c r="DU27" s="27">
        <f>IF(AND(ICI_emp_MRC_choix="Oui",CW30&lt;&gt;""),CW30*Paramètres!L$114,$BW$30*Paramètres!L$114)</f>
        <v>0</v>
      </c>
      <c r="DW27" s="57">
        <f>IF(AND(ICI_emp_MRC_choix="Oui",CW30&lt;&gt;""),CW30*Paramètres!L$97,$BW$30*Paramètres!L$97)</f>
        <v>0</v>
      </c>
      <c r="DX27" s="5">
        <f>IF(AND(ICI_emp_MRC_choix="Oui",CW30&lt;&gt;""),CW30*Paramètres!L$98,$BW$30*Paramètres!L$98)</f>
        <v>0</v>
      </c>
      <c r="DY27" s="5">
        <f>IF(AND(ICI_emp_MRC_choix="Oui",CW30&lt;&gt;""),CW30*Paramètres!L$99,$BW$30*Paramètres!L$99)</f>
        <v>0</v>
      </c>
      <c r="DZ27" s="5">
        <f>IF(AND(ICI_emp_MRC_choix="Oui",CW30&lt;&gt;""),CW30*Paramètres!L$100,$BW$30*Paramètres!L$100)</f>
        <v>0</v>
      </c>
      <c r="EA27" s="27"/>
      <c r="EB27" s="5">
        <f>IF(AND(ICI_emp_MRC_choix="Oui",CW30&lt;&gt;""),CW30*Paramètres!L$102,$BW$30*Paramètres!L$102)</f>
        <v>0</v>
      </c>
      <c r="EC27" s="5">
        <f>IF(AND(ICI_emp_MRC_choix="Oui",CW30&lt;&gt;""),CW30*Paramètres!L$103,$BW$30*Paramètres!L$103)</f>
        <v>0</v>
      </c>
      <c r="ED27" s="27">
        <f>IF(AND(ICI_emp_MRC_choix="Oui",CW30&lt;&gt;""),CW30*Paramètres!L$104,$BW$30*Paramètres!L$104)</f>
        <v>0</v>
      </c>
    </row>
    <row r="28" spans="1:165" ht="15" customHeight="1" thickBot="1" x14ac:dyDescent="0.3">
      <c r="D28" s="5" t="s">
        <v>430</v>
      </c>
      <c r="F28" s="124"/>
      <c r="I28" s="16" t="str">
        <f t="shared" si="2"/>
        <v>Ä</v>
      </c>
      <c r="J28" s="771" t="s">
        <v>382</v>
      </c>
      <c r="K28" s="771"/>
      <c r="L28" s="771"/>
      <c r="M28" s="771"/>
      <c r="N28" s="771"/>
      <c r="O28" s="771"/>
      <c r="P28" s="771"/>
      <c r="Q28" s="771"/>
      <c r="R28" s="771"/>
      <c r="S28" s="771"/>
      <c r="T28" s="771"/>
      <c r="U28" s="771"/>
      <c r="V28" s="771"/>
      <c r="W28" s="771"/>
      <c r="X28" s="771"/>
      <c r="Y28" s="1044"/>
      <c r="Z28" s="1044"/>
      <c r="AA28" s="1044"/>
      <c r="AB28" s="1044"/>
      <c r="AC28" s="1044"/>
      <c r="AD28" s="1044"/>
      <c r="AM28" s="1069"/>
      <c r="AN28" s="1069"/>
      <c r="AO28" s="1069"/>
      <c r="AP28" s="1069"/>
      <c r="AQ28" s="1069"/>
      <c r="AR28" s="1069"/>
      <c r="AS28" s="1069"/>
      <c r="AT28" s="1069"/>
      <c r="AU28" s="1069"/>
      <c r="AV28" s="1069"/>
      <c r="AW28" s="1069"/>
      <c r="AX28" s="1069"/>
      <c r="AY28" s="1069"/>
      <c r="AZ28" s="1069"/>
      <c r="BA28" s="1069"/>
      <c r="BF28" s="638"/>
      <c r="BG28" s="16" t="str">
        <f t="shared" si="3"/>
        <v>Ä</v>
      </c>
      <c r="BH28" s="771" t="str">
        <f t="shared" si="4"/>
        <v>   Information, culture et loisirs</v>
      </c>
      <c r="BI28" s="771"/>
      <c r="BJ28" s="771"/>
      <c r="BK28" s="771"/>
      <c r="BL28" s="771"/>
      <c r="BM28" s="771"/>
      <c r="BN28" s="771"/>
      <c r="BO28" s="771"/>
      <c r="BP28" s="771"/>
      <c r="BQ28" s="771"/>
      <c r="BR28" s="771"/>
      <c r="BS28" s="771"/>
      <c r="BT28" s="771"/>
      <c r="BU28" s="771"/>
      <c r="BV28" s="771"/>
      <c r="BW28" s="1152">
        <f t="shared" si="1"/>
        <v>0</v>
      </c>
      <c r="BX28" s="1152"/>
      <c r="BY28" s="1152"/>
      <c r="BZ28" s="1152"/>
      <c r="CA28" s="1152"/>
      <c r="CB28" s="647"/>
      <c r="CC28" s="639"/>
      <c r="CE28" s="636"/>
      <c r="CG28" s="16" t="str">
        <f t="shared" si="5"/>
        <v>Ä</v>
      </c>
      <c r="CH28" s="771" t="str">
        <f t="shared" si="6"/>
        <v>   Information, culture et loisirs</v>
      </c>
      <c r="CI28" s="771"/>
      <c r="CJ28" s="771"/>
      <c r="CK28" s="771"/>
      <c r="CL28" s="771"/>
      <c r="CM28" s="771"/>
      <c r="CN28" s="771"/>
      <c r="CO28" s="771"/>
      <c r="CP28" s="771"/>
      <c r="CQ28" s="771"/>
      <c r="CR28" s="771"/>
      <c r="CS28" s="771"/>
      <c r="CT28" s="771"/>
      <c r="CU28" s="771"/>
      <c r="CV28" s="771"/>
      <c r="CW28" s="1044"/>
      <c r="CX28" s="1044"/>
      <c r="CY28" s="1044"/>
      <c r="CZ28" s="1044"/>
      <c r="DA28" s="1044"/>
      <c r="DB28" s="1044"/>
      <c r="DD28" s="636"/>
      <c r="DF28" s="124"/>
      <c r="DK28" s="5" t="str">
        <f t="shared" si="0"/>
        <v>SERV</v>
      </c>
      <c r="DN28" s="58">
        <f>IF(AND(ICI_emp_MRC_choix="Oui",CW31&lt;&gt;""),CW31*Paramètres!L$107,$BW$31*Paramètres!L$107)</f>
        <v>0</v>
      </c>
      <c r="DO28" s="34">
        <f>IF(AND(ICI_emp_MRC_choix="Oui",CW31&lt;&gt;""),CW31*Paramètres!L$108,$BW$31*Paramètres!L$108)</f>
        <v>0</v>
      </c>
      <c r="DP28" s="34">
        <f>IF(AND(ICI_emp_MRC_choix="Oui",CW31&lt;&gt;""),CW31*Paramètres!L$109,$BW$31*Paramètres!L$109)</f>
        <v>0</v>
      </c>
      <c r="DQ28" s="34">
        <f>IF(AND(ICI_emp_MRC_choix="Oui",CW31&lt;&gt;""),CW31*Paramètres!L$110,$BW$31*Paramètres!L$110)</f>
        <v>0</v>
      </c>
      <c r="DR28" s="35"/>
      <c r="DS28" s="34">
        <f>IF(AND(ICI_emp_MRC_choix="Oui",CW31&lt;&gt;""),CW31*Paramètres!L$112,$BW$31*Paramètres!L$112)</f>
        <v>0</v>
      </c>
      <c r="DT28" s="34">
        <f>IF(AND(ICI_emp_MRC_choix="Oui",CW31&lt;&gt;""),CW31*Paramètres!L$113,$BW$31*Paramètres!L$113)</f>
        <v>0</v>
      </c>
      <c r="DU28" s="35">
        <f>IF(AND(ICI_emp_MRC_choix="Oui",CW31&lt;&gt;""),CW31*Paramètres!L$114,$BW$31*Paramètres!L$114)</f>
        <v>0</v>
      </c>
      <c r="DW28" s="58">
        <f>IF(AND(ICI_emp_MRC_choix="Oui",CW31&lt;&gt;""),CW31*Paramètres!L$97,$BW$31*Paramètres!L$97)</f>
        <v>0</v>
      </c>
      <c r="DX28" s="34">
        <f>IF(AND(ICI_emp_MRC_choix="Oui",CW31&lt;&gt;""),CW31*Paramètres!L$98,$BW$31*Paramètres!L$98)</f>
        <v>0</v>
      </c>
      <c r="DY28" s="34">
        <f>IF(AND(ICI_emp_MRC_choix="Oui",CW31&lt;&gt;""),CW31*Paramètres!L$99,$BW$31*Paramètres!L$99)</f>
        <v>0</v>
      </c>
      <c r="DZ28" s="34">
        <f>IF(AND(ICI_emp_MRC_choix="Oui",CW31&lt;&gt;""),CW31*Paramètres!L$100,$BW$31*Paramètres!L$100)</f>
        <v>0</v>
      </c>
      <c r="EA28" s="35"/>
      <c r="EB28" s="34">
        <f>IF(AND(ICI_emp_MRC_choix="Oui",CW31&lt;&gt;""),CW31*Paramètres!L$102,$BW$31*Paramètres!L$102)</f>
        <v>0</v>
      </c>
      <c r="EC28" s="34">
        <f>IF(AND(ICI_emp_MRC_choix="Oui",CW31&lt;&gt;""),CW31*Paramètres!L$103,$BW$31*Paramètres!L$103)</f>
        <v>0</v>
      </c>
      <c r="ED28" s="35">
        <f>IF(AND(ICI_emp_MRC_choix="Oui",CW31&lt;&gt;""),CW31*Paramètres!L$104,$BW$31*Paramètres!L$104)</f>
        <v>0</v>
      </c>
    </row>
    <row r="29" spans="1:165" ht="15" customHeight="1" x14ac:dyDescent="0.25">
      <c r="F29" s="124"/>
      <c r="AM29" s="1069"/>
      <c r="AN29" s="1069"/>
      <c r="AO29" s="1069"/>
      <c r="AP29" s="1069"/>
      <c r="AQ29" s="1069"/>
      <c r="AR29" s="1069"/>
      <c r="AS29" s="1069"/>
      <c r="AT29" s="1069"/>
      <c r="AU29" s="1069"/>
      <c r="AV29" s="1069"/>
      <c r="AW29" s="1069"/>
      <c r="AX29" s="1069"/>
      <c r="AY29" s="1069"/>
      <c r="AZ29" s="1069"/>
      <c r="BA29" s="1069"/>
      <c r="BF29" s="638"/>
      <c r="BG29" s="16" t="str">
        <f t="shared" si="3"/>
        <v>Ä</v>
      </c>
      <c r="BH29" s="771" t="str">
        <f t="shared" si="4"/>
        <v>   Hébergement et restauration</v>
      </c>
      <c r="BI29" s="771"/>
      <c r="BJ29" s="771"/>
      <c r="BK29" s="771"/>
      <c r="BL29" s="771"/>
      <c r="BM29" s="771"/>
      <c r="BN29" s="771"/>
      <c r="BO29" s="771"/>
      <c r="BP29" s="771"/>
      <c r="BQ29" s="771"/>
      <c r="BR29" s="771"/>
      <c r="BS29" s="771"/>
      <c r="BT29" s="771"/>
      <c r="BU29" s="771"/>
      <c r="BV29" s="771"/>
      <c r="BW29" s="1152">
        <f t="shared" si="1"/>
        <v>0</v>
      </c>
      <c r="BX29" s="1152"/>
      <c r="BY29" s="1152"/>
      <c r="BZ29" s="1152"/>
      <c r="CA29" s="1152"/>
      <c r="CB29" s="647"/>
      <c r="CC29" s="639"/>
      <c r="CE29" s="636"/>
      <c r="CG29" s="16" t="str">
        <f t="shared" si="5"/>
        <v>Ä</v>
      </c>
      <c r="CH29" s="771" t="str">
        <f t="shared" si="6"/>
        <v>   Hébergement et restauration</v>
      </c>
      <c r="CI29" s="771"/>
      <c r="CJ29" s="771"/>
      <c r="CK29" s="771"/>
      <c r="CL29" s="771"/>
      <c r="CM29" s="771"/>
      <c r="CN29" s="771"/>
      <c r="CO29" s="771"/>
      <c r="CP29" s="771"/>
      <c r="CQ29" s="771"/>
      <c r="CR29" s="771"/>
      <c r="CS29" s="771"/>
      <c r="CT29" s="771"/>
      <c r="CU29" s="771"/>
      <c r="CV29" s="771"/>
      <c r="CW29" s="1044"/>
      <c r="CX29" s="1044"/>
      <c r="CY29" s="1044"/>
      <c r="CZ29" s="1044"/>
      <c r="DA29" s="1044"/>
      <c r="DB29" s="1044"/>
      <c r="DD29" s="636"/>
      <c r="DF29" s="124"/>
    </row>
    <row r="30" spans="1:165" ht="15" customHeight="1" x14ac:dyDescent="0.25">
      <c r="F30" s="124"/>
      <c r="AM30" s="1069"/>
      <c r="AN30" s="1069"/>
      <c r="AO30" s="1069"/>
      <c r="AP30" s="1069"/>
      <c r="AQ30" s="1069"/>
      <c r="AR30" s="1069"/>
      <c r="AS30" s="1069"/>
      <c r="AT30" s="1069"/>
      <c r="AU30" s="1069"/>
      <c r="AV30" s="1069"/>
      <c r="AW30" s="1069"/>
      <c r="AX30" s="1069"/>
      <c r="AY30" s="1069"/>
      <c r="AZ30" s="1069"/>
      <c r="BA30" s="1069"/>
      <c r="BF30" s="638"/>
      <c r="BG30" s="16" t="str">
        <f t="shared" si="3"/>
        <v>Ä</v>
      </c>
      <c r="BH30" s="771" t="str">
        <f t="shared" si="4"/>
        <v>   Autres services</v>
      </c>
      <c r="BI30" s="771"/>
      <c r="BJ30" s="771"/>
      <c r="BK30" s="771"/>
      <c r="BL30" s="771"/>
      <c r="BM30" s="771"/>
      <c r="BN30" s="771"/>
      <c r="BO30" s="771"/>
      <c r="BP30" s="771"/>
      <c r="BQ30" s="771"/>
      <c r="BR30" s="771"/>
      <c r="BS30" s="771"/>
      <c r="BT30" s="771"/>
      <c r="BU30" s="771"/>
      <c r="BV30" s="771"/>
      <c r="BW30" s="1152">
        <f t="shared" si="1"/>
        <v>0</v>
      </c>
      <c r="BX30" s="1152"/>
      <c r="BY30" s="1152"/>
      <c r="BZ30" s="1152"/>
      <c r="CA30" s="1152"/>
      <c r="CB30" s="647"/>
      <c r="CC30" s="639"/>
      <c r="CE30" s="636"/>
      <c r="CG30" s="16" t="str">
        <f t="shared" si="5"/>
        <v>Ä</v>
      </c>
      <c r="CH30" s="771" t="str">
        <f t="shared" si="6"/>
        <v>   Autres services</v>
      </c>
      <c r="CI30" s="771"/>
      <c r="CJ30" s="771"/>
      <c r="CK30" s="771"/>
      <c r="CL30" s="771"/>
      <c r="CM30" s="771"/>
      <c r="CN30" s="771"/>
      <c r="CO30" s="771"/>
      <c r="CP30" s="771"/>
      <c r="CQ30" s="771"/>
      <c r="CR30" s="771"/>
      <c r="CS30" s="771"/>
      <c r="CT30" s="771"/>
      <c r="CU30" s="771"/>
      <c r="CV30" s="771"/>
      <c r="CW30" s="1044"/>
      <c r="CX30" s="1044"/>
      <c r="CY30" s="1044"/>
      <c r="CZ30" s="1044"/>
      <c r="DA30" s="1044"/>
      <c r="DB30" s="1044"/>
      <c r="DD30" s="636"/>
      <c r="DF30" s="124"/>
    </row>
    <row r="31" spans="1:165" ht="15" customHeight="1" x14ac:dyDescent="0.25">
      <c r="A31" s="5" t="s">
        <v>449</v>
      </c>
      <c r="C31" s="73" t="str">
        <f>C5&amp;".2"</f>
        <v>1.2</v>
      </c>
      <c r="F31" s="124"/>
      <c r="J31" s="186" t="str">
        <f>CONCATENATE($B$2,".",$C31,".")</f>
        <v>3.1.2.</v>
      </c>
      <c r="K31" s="1070" t="str">
        <f>question_outil_utilisateur</f>
        <v>Quelles données souhaitez-vous utiliser dans les résultats ?</v>
      </c>
      <c r="L31" s="1070"/>
      <c r="M31" s="1070"/>
      <c r="N31" s="1070"/>
      <c r="O31" s="1070"/>
      <c r="P31" s="1070"/>
      <c r="Q31" s="1070"/>
      <c r="R31" s="1070"/>
      <c r="S31" s="1070"/>
      <c r="T31" s="1070"/>
      <c r="U31" s="1070"/>
      <c r="V31" s="1070"/>
      <c r="W31" s="1070"/>
      <c r="X31" s="1070"/>
      <c r="Y31" s="1070"/>
      <c r="Z31" s="1070"/>
      <c r="AA31" s="1070"/>
      <c r="AB31" s="759"/>
      <c r="AC31" s="759"/>
      <c r="AD31" s="759"/>
      <c r="AE31" s="759"/>
      <c r="AF31" s="759"/>
      <c r="AG31" s="759"/>
      <c r="AH31" s="759"/>
      <c r="AI31" s="759"/>
      <c r="AJ31" s="759"/>
      <c r="AM31" s="1069"/>
      <c r="AN31" s="1069"/>
      <c r="AO31" s="1069"/>
      <c r="AP31" s="1069"/>
      <c r="AQ31" s="1069"/>
      <c r="AR31" s="1069"/>
      <c r="AS31" s="1069"/>
      <c r="AT31" s="1069"/>
      <c r="AU31" s="1069"/>
      <c r="AV31" s="1069"/>
      <c r="AW31" s="1069"/>
      <c r="AX31" s="1069"/>
      <c r="AY31" s="1069"/>
      <c r="AZ31" s="1069"/>
      <c r="BA31" s="1069"/>
      <c r="BF31" s="638"/>
      <c r="BG31" s="16" t="str">
        <f t="shared" si="3"/>
        <v>Ä</v>
      </c>
      <c r="BH31" s="771" t="str">
        <f t="shared" si="4"/>
        <v>   Administrations publiques</v>
      </c>
      <c r="BI31" s="771"/>
      <c r="BJ31" s="771"/>
      <c r="BK31" s="771"/>
      <c r="BL31" s="771"/>
      <c r="BM31" s="771"/>
      <c r="BN31" s="771"/>
      <c r="BO31" s="771"/>
      <c r="BP31" s="771"/>
      <c r="BQ31" s="771"/>
      <c r="BR31" s="771"/>
      <c r="BS31" s="771"/>
      <c r="BT31" s="771"/>
      <c r="BU31" s="771"/>
      <c r="BV31" s="771"/>
      <c r="BW31" s="1152">
        <f t="shared" si="1"/>
        <v>0</v>
      </c>
      <c r="BX31" s="1152"/>
      <c r="BY31" s="1152"/>
      <c r="BZ31" s="1152"/>
      <c r="CA31" s="1152"/>
      <c r="CB31" s="647"/>
      <c r="CC31" s="639"/>
      <c r="CE31" s="649"/>
      <c r="CG31" s="16" t="str">
        <f t="shared" si="5"/>
        <v>Ä</v>
      </c>
      <c r="CH31" s="771" t="str">
        <f t="shared" si="6"/>
        <v>   Administrations publiques</v>
      </c>
      <c r="CI31" s="771"/>
      <c r="CJ31" s="771"/>
      <c r="CK31" s="771"/>
      <c r="CL31" s="771"/>
      <c r="CM31" s="771"/>
      <c r="CN31" s="771"/>
      <c r="CO31" s="771"/>
      <c r="CP31" s="771"/>
      <c r="CQ31" s="771"/>
      <c r="CR31" s="771"/>
      <c r="CS31" s="771"/>
      <c r="CT31" s="771"/>
      <c r="CU31" s="771"/>
      <c r="CV31" s="771"/>
      <c r="CW31" s="1044"/>
      <c r="CX31" s="1044"/>
      <c r="CY31" s="1044"/>
      <c r="CZ31" s="1044"/>
      <c r="DA31" s="1044"/>
      <c r="DB31" s="1044"/>
      <c r="DD31" s="649"/>
      <c r="DF31" s="124"/>
      <c r="ER31" s="144"/>
      <c r="ES31" s="144"/>
      <c r="ET31" s="144"/>
    </row>
    <row r="32" spans="1:165" ht="15" customHeight="1" thickBot="1" x14ac:dyDescent="0.3">
      <c r="F32" s="124"/>
      <c r="BF32" s="640"/>
      <c r="BG32" s="641"/>
      <c r="BH32" s="641"/>
      <c r="BI32" s="641"/>
      <c r="BJ32" s="641"/>
      <c r="BK32" s="641"/>
      <c r="BL32" s="641"/>
      <c r="BM32" s="641"/>
      <c r="BN32" s="641"/>
      <c r="BO32" s="641"/>
      <c r="BP32" s="641"/>
      <c r="BQ32" s="641"/>
      <c r="BR32" s="641"/>
      <c r="BS32" s="641"/>
      <c r="BT32" s="641"/>
      <c r="BU32" s="641"/>
      <c r="BV32" s="641"/>
      <c r="BW32" s="641"/>
      <c r="BX32" s="641"/>
      <c r="BY32" s="641"/>
      <c r="BZ32" s="641"/>
      <c r="CA32" s="641"/>
      <c r="CB32" s="641"/>
      <c r="CC32" s="642"/>
      <c r="CE32" s="636"/>
      <c r="DD32" s="636"/>
      <c r="DE32" s="651"/>
      <c r="DF32" s="124"/>
      <c r="ER32" s="144"/>
      <c r="EW32" s="73"/>
      <c r="EX32" s="19"/>
      <c r="EY32" s="19"/>
      <c r="EZ32" s="19"/>
      <c r="FA32" s="19"/>
      <c r="FB32" s="19"/>
      <c r="FC32" s="19"/>
      <c r="FD32" s="19"/>
      <c r="FE32" s="19"/>
      <c r="FF32" s="19"/>
      <c r="FG32" s="19"/>
      <c r="FH32" s="19"/>
      <c r="FI32" s="19"/>
    </row>
    <row r="33" spans="3:198" ht="15" customHeight="1" x14ac:dyDescent="0.25">
      <c r="C33" s="73" t="str">
        <f>C5&amp;".3"</f>
        <v>1.3</v>
      </c>
      <c r="D33" s="5" t="str">
        <f>C5&amp;".4"</f>
        <v>1.4</v>
      </c>
      <c r="E33" s="21"/>
      <c r="F33" s="124"/>
      <c r="G33" s="19"/>
      <c r="H33" s="19"/>
      <c r="I33" s="19"/>
      <c r="J33" s="186" t="str">
        <f>CONCATENATE($B$2,".",$C33,".")</f>
        <v>3.1.3.</v>
      </c>
      <c r="K33" s="1070" t="str">
        <f>txt_outil&amp;IF(ici_utiliser_donnees=menu_utilisateur,donnees_infos,donnees_calculs)</f>
        <v>Données suggérées par l'outil - UTILISÉES DANS LES RÉSULTATS</v>
      </c>
      <c r="L33" s="1070"/>
      <c r="M33" s="1070"/>
      <c r="N33" s="1070"/>
      <c r="O33" s="1070"/>
      <c r="P33" s="1070"/>
      <c r="Q33" s="1070"/>
      <c r="R33" s="1070"/>
      <c r="S33" s="1070"/>
      <c r="T33" s="1070"/>
      <c r="U33" s="1070"/>
      <c r="V33" s="1070"/>
      <c r="W33" s="1070"/>
      <c r="X33" s="1070"/>
      <c r="Y33" s="1070"/>
      <c r="Z33" s="1070"/>
      <c r="AA33" s="1070"/>
      <c r="AB33" s="1070"/>
      <c r="AC33" s="1070"/>
      <c r="AD33" s="1070"/>
      <c r="AE33" s="19"/>
      <c r="AF33" s="19"/>
      <c r="AG33" s="19"/>
      <c r="AK33" s="186" t="str">
        <f>CONCATENATE($B$2,".",$D33,".")</f>
        <v>3.1.4.</v>
      </c>
      <c r="AL33" s="1070" t="str">
        <f>txt_utilisateur&amp;IF(ici_utiliser_donnees=menu_utilisateur,donnees_calculs,donnees_infos)</f>
        <v xml:space="preserve">Données saisies par l'utilisateur (fournies à titre indicatif seulement) </v>
      </c>
      <c r="AM33" s="1070"/>
      <c r="AN33" s="1070"/>
      <c r="AO33" s="1070"/>
      <c r="AP33" s="1070"/>
      <c r="AQ33" s="1070"/>
      <c r="AR33" s="1070"/>
      <c r="AS33" s="1070"/>
      <c r="AT33" s="1070"/>
      <c r="AU33" s="1070"/>
      <c r="AV33" s="1070"/>
      <c r="AW33" s="1070"/>
      <c r="AX33" s="1070"/>
      <c r="AY33" s="1070"/>
      <c r="AZ33" s="1070"/>
      <c r="BA33" s="1070"/>
      <c r="BB33" s="1070"/>
      <c r="BC33" s="1070"/>
      <c r="BD33" s="1070"/>
      <c r="BE33" s="1070"/>
      <c r="CE33" s="636"/>
      <c r="DD33" s="636"/>
      <c r="DF33" s="124"/>
      <c r="DJ33" s="106"/>
      <c r="DK33" s="1000" t="s">
        <v>23</v>
      </c>
      <c r="DL33" s="1000"/>
      <c r="DM33" s="1000"/>
      <c r="DN33" s="1000"/>
      <c r="DO33" s="1000"/>
      <c r="DP33" s="1000"/>
      <c r="DQ33" s="1000"/>
      <c r="DR33" s="1000"/>
      <c r="DS33" s="1000"/>
      <c r="DT33" s="1000"/>
      <c r="DU33" s="1000"/>
      <c r="DV33" s="1000"/>
      <c r="DW33" s="1000"/>
      <c r="DX33" s="1000"/>
      <c r="DY33" s="1000"/>
      <c r="DZ33" s="1000"/>
      <c r="EA33" s="1000"/>
      <c r="EB33" s="1000"/>
      <c r="EC33" s="1000"/>
      <c r="ED33" s="1000"/>
      <c r="EE33" s="1000"/>
      <c r="EF33" s="1000"/>
      <c r="EG33" s="108"/>
    </row>
    <row r="34" spans="3:198" ht="5.25" customHeight="1" x14ac:dyDescent="0.25">
      <c r="C34" s="73"/>
      <c r="D34" s="73"/>
      <c r="E34" s="21"/>
      <c r="F34" s="124"/>
      <c r="G34" s="19"/>
      <c r="H34" s="19"/>
      <c r="I34" s="19"/>
      <c r="J34" s="73"/>
      <c r="K34" s="19"/>
      <c r="L34" s="19"/>
      <c r="M34" s="19"/>
      <c r="N34" s="19"/>
      <c r="O34" s="19"/>
      <c r="P34" s="19"/>
      <c r="Q34" s="19"/>
      <c r="R34" s="19"/>
      <c r="S34" s="19"/>
      <c r="T34" s="19"/>
      <c r="U34" s="19"/>
      <c r="V34" s="19"/>
      <c r="W34" s="19"/>
      <c r="X34" s="19"/>
      <c r="Y34" s="19"/>
      <c r="Z34" s="19"/>
      <c r="AA34" s="19"/>
      <c r="AB34" s="19"/>
      <c r="AC34" s="19"/>
      <c r="AD34" s="19"/>
      <c r="AE34" s="19"/>
      <c r="AF34" s="19"/>
      <c r="AG34" s="19"/>
      <c r="CE34" s="636"/>
      <c r="CF34" s="636"/>
      <c r="CG34" s="636"/>
      <c r="CH34" s="636"/>
      <c r="CI34" s="636"/>
      <c r="CJ34" s="636"/>
      <c r="CK34" s="636"/>
      <c r="CL34" s="636"/>
      <c r="CM34" s="636"/>
      <c r="CN34" s="636"/>
      <c r="CO34" s="636"/>
      <c r="CP34" s="636"/>
      <c r="CQ34" s="636"/>
      <c r="CR34" s="636"/>
      <c r="CS34" s="636"/>
      <c r="CT34" s="636"/>
      <c r="CU34" s="636"/>
      <c r="CV34" s="636"/>
      <c r="CW34" s="636"/>
      <c r="CX34" s="636"/>
      <c r="CY34" s="636"/>
      <c r="CZ34" s="636"/>
      <c r="DA34" s="636"/>
      <c r="DB34" s="636"/>
      <c r="DC34" s="636"/>
      <c r="DD34" s="636"/>
      <c r="DF34" s="124"/>
      <c r="DJ34" s="57"/>
      <c r="EG34" s="27"/>
      <c r="EW34" s="73"/>
      <c r="EX34" s="19"/>
      <c r="EY34" s="19"/>
      <c r="EZ34" s="19"/>
      <c r="FA34" s="19"/>
      <c r="FB34" s="19"/>
    </row>
    <row r="35" spans="3:198" ht="15" customHeight="1" x14ac:dyDescent="0.25">
      <c r="C35" s="73"/>
      <c r="D35" s="73"/>
      <c r="E35" s="21"/>
      <c r="F35" s="124"/>
      <c r="G35" s="19"/>
      <c r="H35" s="19"/>
      <c r="I35" s="19"/>
      <c r="J35" s="73"/>
      <c r="L35" s="19"/>
      <c r="M35" s="19"/>
      <c r="N35" s="19"/>
      <c r="O35" s="19"/>
      <c r="P35" s="19"/>
      <c r="T35" s="1077" t="s">
        <v>478</v>
      </c>
      <c r="U35" s="1077"/>
      <c r="V35" s="1077"/>
      <c r="W35" s="1077"/>
      <c r="X35" s="1077"/>
      <c r="Y35" s="1077"/>
      <c r="Z35" s="1077"/>
      <c r="AA35" s="1077"/>
      <c r="AB35" s="1077"/>
      <c r="AC35" s="1077"/>
      <c r="AD35" s="1077"/>
      <c r="AE35" s="1077"/>
      <c r="AF35" s="1077"/>
      <c r="AG35" s="1077"/>
      <c r="AH35" s="1077"/>
      <c r="AI35" s="73"/>
      <c r="AK35" s="19"/>
      <c r="AM35" s="1077" t="s">
        <v>478</v>
      </c>
      <c r="AN35" s="1077"/>
      <c r="AO35" s="1077"/>
      <c r="AP35" s="1077"/>
      <c r="AQ35" s="1077"/>
      <c r="AR35" s="1077"/>
      <c r="AS35" s="1077"/>
      <c r="AT35" s="1077"/>
      <c r="AU35" s="1077"/>
      <c r="AV35" s="1077"/>
      <c r="AW35" s="1077"/>
      <c r="AX35" s="1077"/>
      <c r="AY35" s="1077"/>
      <c r="AZ35" s="1077"/>
      <c r="BA35" s="1077"/>
      <c r="BB35" s="19"/>
      <c r="BC35" s="19"/>
      <c r="BD35" s="19"/>
      <c r="DF35" s="124"/>
      <c r="DJ35" s="57"/>
      <c r="EG35" s="27"/>
      <c r="EH35" s="5" t="s">
        <v>489</v>
      </c>
      <c r="EW35" s="73"/>
      <c r="EX35" s="19"/>
      <c r="EY35" s="19"/>
      <c r="EZ35" s="19"/>
      <c r="FA35" s="19"/>
      <c r="FB35" s="19"/>
      <c r="FC35" s="19"/>
      <c r="FD35" s="19"/>
      <c r="FE35" s="19"/>
      <c r="FF35" s="19"/>
      <c r="FG35" s="19"/>
      <c r="FH35" s="19"/>
      <c r="FI35" s="19"/>
    </row>
    <row r="36" spans="3:198" ht="15" customHeight="1" x14ac:dyDescent="0.25">
      <c r="C36" s="72"/>
      <c r="D36" s="72"/>
      <c r="E36" s="36"/>
      <c r="F36" s="124"/>
      <c r="I36" s="26"/>
      <c r="T36" s="1001" t="s">
        <v>614</v>
      </c>
      <c r="U36" s="1001"/>
      <c r="V36" s="1001"/>
      <c r="X36" s="1001" t="s">
        <v>616</v>
      </c>
      <c r="Y36" s="1001"/>
      <c r="Z36" s="1001"/>
      <c r="AA36" s="1038" t="s">
        <v>615</v>
      </c>
      <c r="AB36" s="1038"/>
      <c r="AC36" s="1038"/>
      <c r="AD36" s="1038"/>
      <c r="AE36" s="1038"/>
      <c r="AF36" s="1001" t="s">
        <v>617</v>
      </c>
      <c r="AG36" s="1001"/>
      <c r="AH36" s="1001"/>
      <c r="AM36" s="1001" t="str">
        <f>T36</f>
        <v>Fibres (t)</v>
      </c>
      <c r="AN36" s="1001"/>
      <c r="AO36" s="1001"/>
      <c r="AQ36" s="1001" t="str">
        <f>X36</f>
        <v>Métal (t)</v>
      </c>
      <c r="AR36" s="1001"/>
      <c r="AS36" s="1001"/>
      <c r="AT36" s="1038" t="str">
        <f>AA36</f>
        <v>Plastique (t)</v>
      </c>
      <c r="AU36" s="1038"/>
      <c r="AV36" s="1038"/>
      <c r="AW36" s="1038"/>
      <c r="AX36" s="1038"/>
      <c r="AY36" s="1001" t="str">
        <f>AF36</f>
        <v>Verre (t)</v>
      </c>
      <c r="AZ36" s="1001"/>
      <c r="BA36" s="1001"/>
      <c r="DF36" s="124"/>
      <c r="DJ36" s="57"/>
      <c r="DK36" s="26"/>
      <c r="DS36" s="1001" t="s">
        <v>285</v>
      </c>
      <c r="DT36" s="1001"/>
      <c r="DU36" s="1001"/>
      <c r="DV36" s="1001"/>
      <c r="DX36" s="1001" t="s">
        <v>286</v>
      </c>
      <c r="DY36" s="1001"/>
      <c r="DZ36" s="1001"/>
      <c r="EA36" s="1001"/>
      <c r="EC36" s="1001" t="s">
        <v>287</v>
      </c>
      <c r="ED36" s="1001"/>
      <c r="EE36" s="1001"/>
      <c r="EF36" s="1001"/>
      <c r="EG36" s="27"/>
    </row>
    <row r="37" spans="3:198" ht="15" customHeight="1" x14ac:dyDescent="0.25">
      <c r="C37" s="72"/>
      <c r="D37" s="72"/>
      <c r="E37" s="36"/>
      <c r="F37" s="124"/>
      <c r="I37" s="701" t="s">
        <v>466</v>
      </c>
      <c r="J37" s="701"/>
      <c r="K37" s="701"/>
      <c r="L37" s="701"/>
      <c r="M37" s="701"/>
      <c r="N37" s="701"/>
      <c r="O37" s="701"/>
      <c r="P37" s="701"/>
      <c r="Q37" s="701"/>
      <c r="R37" s="701"/>
      <c r="S37" s="701"/>
      <c r="T37" s="1009" t="str">
        <f>IF(COUNTIF(T38:T42,N.D.)&gt;0,N.D.,SUM(T38:T42))</f>
        <v>N.D.</v>
      </c>
      <c r="U37" s="1009"/>
      <c r="V37" s="1009"/>
      <c r="W37" s="170"/>
      <c r="X37" s="1009" t="str">
        <f>IF(COUNTIF(X38:X42,N.D.)&gt;0,N.D.,SUM(X38:X42))</f>
        <v>N.D.</v>
      </c>
      <c r="Y37" s="1009"/>
      <c r="Z37" s="1009"/>
      <c r="AA37" s="170"/>
      <c r="AB37" s="1009" t="str">
        <f>IF(COUNTIF(AB38:AB42,N.D.)&gt;0,N.D.,SUM(AB38:AB42))</f>
        <v>N.D.</v>
      </c>
      <c r="AC37" s="1009"/>
      <c r="AD37" s="1009"/>
      <c r="AE37" s="170"/>
      <c r="AF37" s="1009" t="str">
        <f>IF(COUNTIF(AF38:AF42,N.D.)&gt;0,N.D.,SUM(AF38:AF42))</f>
        <v>N.D.</v>
      </c>
      <c r="AG37" s="1009"/>
      <c r="AH37" s="1009"/>
      <c r="AM37" s="1009" t="str">
        <f>IF(COUNTA(AM38:AM42)=0,"",IF(COUNTBLANK(AM38:AM42)&gt;0,N.D.,SUM(AM38:AM42)))</f>
        <v/>
      </c>
      <c r="AN37" s="1009"/>
      <c r="AO37" s="1009"/>
      <c r="AP37" s="170"/>
      <c r="AQ37" s="1009" t="str">
        <f>IF(COUNTA(AQ38:AQ42)=0,"",IF(COUNTBLANK(AQ38:AQ42)&gt;0,N.D.,SUM(AQ38:AQ42)))</f>
        <v/>
      </c>
      <c r="AR37" s="1009"/>
      <c r="AS37" s="1009"/>
      <c r="AT37" s="170"/>
      <c r="AU37" s="1009" t="str">
        <f>IF(COUNTA(AU38:AU42)=0,"",IF(COUNTBLANK(AU38:AU42)&gt;0,N.D.,SUM(AU38:AU42)))</f>
        <v/>
      </c>
      <c r="AV37" s="1009"/>
      <c r="AW37" s="1009"/>
      <c r="AX37" s="170"/>
      <c r="AY37" s="1009" t="str">
        <f>IF(COUNTA(AY38:AY42)=0,"",IF(COUNTBLANK(AY38:AY42)&gt;0,N.D.,SUM(AY38:AY42)))</f>
        <v/>
      </c>
      <c r="AZ37" s="1009"/>
      <c r="BA37" s="1009"/>
      <c r="DF37" s="124"/>
      <c r="DJ37" s="57"/>
      <c r="DK37" s="701" t="s">
        <v>385</v>
      </c>
      <c r="DL37" s="701"/>
      <c r="DM37" s="701"/>
      <c r="DN37" s="701"/>
      <c r="DO37" s="701"/>
      <c r="DP37" s="701"/>
      <c r="DQ37" s="701"/>
      <c r="DR37" s="701"/>
      <c r="DS37" s="1007" t="str">
        <f>T53</f>
        <v>N.D.</v>
      </c>
      <c r="DT37" s="1007"/>
      <c r="DU37" s="1007"/>
      <c r="DV37" s="1007"/>
      <c r="DW37" s="62"/>
      <c r="DX37" s="1007" t="str">
        <f>T74</f>
        <v>N.D.</v>
      </c>
      <c r="DY37" s="1007"/>
      <c r="DZ37" s="1007"/>
      <c r="EA37" s="1007"/>
      <c r="EB37" s="62"/>
      <c r="EC37" s="743" t="str">
        <f>IF(OR(DS37=N.D.,DX37=N.D.),N.D.,SUM(DS37,DX37))</f>
        <v>N.D.</v>
      </c>
      <c r="ED37" s="743"/>
      <c r="EE37" s="743"/>
      <c r="EF37" s="743"/>
      <c r="EG37" s="27"/>
      <c r="EH37" s="5" t="str">
        <f>IF(T95=EC37,"ok","non")</f>
        <v>ok</v>
      </c>
    </row>
    <row r="38" spans="3:198" ht="15" customHeight="1" x14ac:dyDescent="0.25">
      <c r="C38" s="72"/>
      <c r="D38" s="5" t="s">
        <v>423</v>
      </c>
      <c r="E38" s="36"/>
      <c r="F38" s="124"/>
      <c r="I38" s="16" t="str">
        <f>puce1</f>
        <v>Ä</v>
      </c>
      <c r="J38" s="982" t="s">
        <v>467</v>
      </c>
      <c r="K38" s="982"/>
      <c r="L38" s="982"/>
      <c r="M38" s="982"/>
      <c r="N38" s="982"/>
      <c r="O38" s="982"/>
      <c r="P38" s="982"/>
      <c r="Q38" s="982"/>
      <c r="R38" s="982"/>
      <c r="S38" s="982"/>
      <c r="T38" s="1005" t="str">
        <f>IF(OR(gen_pop_RA="", gen_pop_MRC="",COUNTBLANK($Y$10:$Y$28)&gt;0),N.D.,DN$12)</f>
        <v>N.D.</v>
      </c>
      <c r="U38" s="1005"/>
      <c r="V38" s="1005"/>
      <c r="W38" s="128"/>
      <c r="X38" s="1005" t="str">
        <f>IF(OR(gen_pop_RA="", gen_pop_MRC="",COUNTBLANK($Y$10:$Y$28)&gt;0),N.D.,DO$12)</f>
        <v>N.D.</v>
      </c>
      <c r="Y38" s="1005"/>
      <c r="Z38" s="1005"/>
      <c r="AA38" s="128"/>
      <c r="AB38" s="1005" t="str">
        <f>IF(OR(gen_pop_RA="", gen_pop_MRC="",COUNTBLANK($Y$10:$Y$28)&gt;0),N.D.,DP$12)</f>
        <v>N.D.</v>
      </c>
      <c r="AC38" s="1005"/>
      <c r="AD38" s="1005"/>
      <c r="AE38" s="128"/>
      <c r="AF38" s="1005" t="str">
        <f>IF(OR(gen_pop_RA="", gen_pop_MRC="",COUNTBLANK($Y$10:$Y$28)&gt;0),N.D.,DQ$12)</f>
        <v>N.D.</v>
      </c>
      <c r="AG38" s="1005"/>
      <c r="AH38" s="1005"/>
      <c r="AM38" s="1024"/>
      <c r="AN38" s="1024"/>
      <c r="AO38" s="1024"/>
      <c r="AP38" s="494"/>
      <c r="AQ38" s="1024"/>
      <c r="AR38" s="1024"/>
      <c r="AS38" s="1024"/>
      <c r="AT38" s="494"/>
      <c r="AU38" s="1024"/>
      <c r="AV38" s="1024"/>
      <c r="AW38" s="1024"/>
      <c r="AX38" s="494"/>
      <c r="AY38" s="1024"/>
      <c r="AZ38" s="1024"/>
      <c r="BA38" s="1024"/>
      <c r="DF38" s="124"/>
      <c r="DJ38" s="57"/>
      <c r="DK38" s="691" t="s">
        <v>387</v>
      </c>
      <c r="DL38" s="691"/>
      <c r="DM38" s="691"/>
      <c r="DN38" s="691"/>
      <c r="DO38" s="691"/>
      <c r="DP38" s="691"/>
      <c r="DQ38" s="691"/>
      <c r="DR38" s="691"/>
      <c r="DS38" s="1007" t="str">
        <f>X53</f>
        <v>N.D.</v>
      </c>
      <c r="DT38" s="1007"/>
      <c r="DU38" s="1007"/>
      <c r="DV38" s="1007"/>
      <c r="DW38" s="62"/>
      <c r="DX38" s="1056" t="str">
        <f>X74</f>
        <v>N.D.</v>
      </c>
      <c r="DY38" s="1056"/>
      <c r="DZ38" s="1056"/>
      <c r="EA38" s="1056"/>
      <c r="EB38" s="62"/>
      <c r="EC38" s="743" t="str">
        <f>IF(OR(DS38=N.D.,DX38=N.D.),N.D.,SUM(DS38,DX38))</f>
        <v>N.D.</v>
      </c>
      <c r="ED38" s="743"/>
      <c r="EE38" s="743"/>
      <c r="EF38" s="743"/>
      <c r="EG38" s="27"/>
      <c r="EH38" s="5" t="str">
        <f>IF(X95=EC38,"ok","non")</f>
        <v>ok</v>
      </c>
    </row>
    <row r="39" spans="3:198" ht="30" customHeight="1" x14ac:dyDescent="0.25">
      <c r="C39" s="72"/>
      <c r="D39" s="5" t="s">
        <v>424</v>
      </c>
      <c r="E39" s="36"/>
      <c r="F39" s="124"/>
      <c r="I39" s="16" t="str">
        <f>puce1</f>
        <v>Ä</v>
      </c>
      <c r="J39" s="982" t="s">
        <v>468</v>
      </c>
      <c r="K39" s="982"/>
      <c r="L39" s="982"/>
      <c r="M39" s="982"/>
      <c r="N39" s="982"/>
      <c r="O39" s="982"/>
      <c r="P39" s="982"/>
      <c r="Q39" s="982"/>
      <c r="R39" s="982"/>
      <c r="S39" s="982"/>
      <c r="T39" s="1005" t="str">
        <f>IF(OR(gen_pop_RA="", gen_pop_MRC="",COUNTBLANK($Y$10:$Y$28)&gt;0),N.D.,DN$13)</f>
        <v>N.D.</v>
      </c>
      <c r="U39" s="1005"/>
      <c r="V39" s="1005"/>
      <c r="W39" s="128"/>
      <c r="X39" s="1005" t="str">
        <f>IF(OR(gen_pop_RA="", gen_pop_MRC="",COUNTBLANK($Y$10:$Y$28)&gt;0),N.D.,DO$13)</f>
        <v>N.D.</v>
      </c>
      <c r="Y39" s="1005"/>
      <c r="Z39" s="1005"/>
      <c r="AA39" s="128"/>
      <c r="AB39" s="1005" t="str">
        <f>IF(OR(gen_pop_RA="", gen_pop_MRC="",COUNTBLANK($Y$10:$Y$28)&gt;0),N.D.,DP$13)</f>
        <v>N.D.</v>
      </c>
      <c r="AC39" s="1005"/>
      <c r="AD39" s="1005"/>
      <c r="AE39" s="128"/>
      <c r="AF39" s="1005" t="str">
        <f>IF(OR(gen_pop_RA="", gen_pop_MRC="",COUNTBLANK($Y$10:$Y$28)&gt;0),N.D.,DQ$13)</f>
        <v>N.D.</v>
      </c>
      <c r="AG39" s="1005"/>
      <c r="AH39" s="1005"/>
      <c r="AM39" s="1024"/>
      <c r="AN39" s="1024"/>
      <c r="AO39" s="1024"/>
      <c r="AP39" s="494"/>
      <c r="AQ39" s="1024"/>
      <c r="AR39" s="1024"/>
      <c r="AS39" s="1024"/>
      <c r="AT39" s="494"/>
      <c r="AU39" s="1024"/>
      <c r="AV39" s="1024"/>
      <c r="AW39" s="1024"/>
      <c r="AX39" s="494"/>
      <c r="AY39" s="1024"/>
      <c r="AZ39" s="1024"/>
      <c r="BA39" s="1024"/>
      <c r="DF39" s="124"/>
      <c r="DJ39" s="57"/>
      <c r="DK39" s="691" t="s">
        <v>388</v>
      </c>
      <c r="DL39" s="691"/>
      <c r="DM39" s="691"/>
      <c r="DN39" s="691"/>
      <c r="DO39" s="691"/>
      <c r="DP39" s="691"/>
      <c r="DQ39" s="691"/>
      <c r="DR39" s="691"/>
      <c r="DS39" s="1007" t="str">
        <f>AB53</f>
        <v>N.D.</v>
      </c>
      <c r="DT39" s="1007"/>
      <c r="DU39" s="1007"/>
      <c r="DV39" s="1007"/>
      <c r="DW39" s="62"/>
      <c r="DX39" s="1056" t="str">
        <f>AB74</f>
        <v>N.D.</v>
      </c>
      <c r="DY39" s="1056"/>
      <c r="DZ39" s="1056"/>
      <c r="EA39" s="1056"/>
      <c r="EB39" s="62"/>
      <c r="EC39" s="743" t="str">
        <f>IF(OR(DS39=N.D.,DX39=N.D.),N.D.,SUM(DS39,DX39))</f>
        <v>N.D.</v>
      </c>
      <c r="ED39" s="743"/>
      <c r="EE39" s="743"/>
      <c r="EF39" s="743"/>
      <c r="EG39" s="27"/>
      <c r="EH39" s="5" t="str">
        <f>IF(AB95=EC39,"ok","non")</f>
        <v>ok</v>
      </c>
      <c r="FJ39" s="19"/>
      <c r="FK39" s="19"/>
      <c r="FL39" s="19"/>
    </row>
    <row r="40" spans="3:198" ht="15" customHeight="1" x14ac:dyDescent="0.25">
      <c r="C40" s="72"/>
      <c r="D40" s="5" t="s">
        <v>427</v>
      </c>
      <c r="E40" s="36"/>
      <c r="F40" s="124"/>
      <c r="I40" s="16" t="str">
        <f>puce1</f>
        <v>Ä</v>
      </c>
      <c r="J40" s="982" t="s">
        <v>469</v>
      </c>
      <c r="K40" s="982"/>
      <c r="L40" s="982"/>
      <c r="M40" s="982"/>
      <c r="N40" s="982"/>
      <c r="O40" s="982"/>
      <c r="P40" s="982"/>
      <c r="Q40" s="982"/>
      <c r="R40" s="982"/>
      <c r="S40" s="982"/>
      <c r="T40" s="1005" t="str">
        <f>IF(OR(gen_pop_RA="", gen_pop_MRC="",COUNTBLANK($Y$10:$Y$28)&gt;0),N.D.,DN$16)</f>
        <v>N.D.</v>
      </c>
      <c r="U40" s="1005"/>
      <c r="V40" s="1005"/>
      <c r="W40" s="128"/>
      <c r="X40" s="1005" t="str">
        <f>IF(OR(gen_pop_RA="", gen_pop_MRC="",COUNTBLANK($Y$10:$Y$28)&gt;0),N.D.,DO$16)</f>
        <v>N.D.</v>
      </c>
      <c r="Y40" s="1005"/>
      <c r="Z40" s="1005"/>
      <c r="AA40" s="128"/>
      <c r="AB40" s="1005" t="str">
        <f>IF(OR(gen_pop_RA="", gen_pop_MRC="",COUNTBLANK($Y$10:$Y$28)&gt;0),N.D.,DP$16)</f>
        <v>N.D.</v>
      </c>
      <c r="AC40" s="1005"/>
      <c r="AD40" s="1005"/>
      <c r="AE40" s="128"/>
      <c r="AF40" s="1005" t="str">
        <f>IF(OR(gen_pop_RA="", gen_pop_MRC="",COUNTBLANK($Y$10:$Y$28)&gt;0),N.D.,DQ$16)</f>
        <v>N.D.</v>
      </c>
      <c r="AG40" s="1005"/>
      <c r="AH40" s="1005"/>
      <c r="AM40" s="1024"/>
      <c r="AN40" s="1024"/>
      <c r="AO40" s="1024"/>
      <c r="AP40" s="494"/>
      <c r="AQ40" s="1024"/>
      <c r="AR40" s="1024"/>
      <c r="AS40" s="1024"/>
      <c r="AT40" s="494"/>
      <c r="AU40" s="1024"/>
      <c r="AV40" s="1024"/>
      <c r="AW40" s="1024"/>
      <c r="AX40" s="494"/>
      <c r="AY40" s="1024"/>
      <c r="AZ40" s="1024"/>
      <c r="BA40" s="1024"/>
      <c r="DF40" s="124"/>
      <c r="DJ40" s="57"/>
      <c r="DK40" s="691" t="s">
        <v>386</v>
      </c>
      <c r="DL40" s="691"/>
      <c r="DM40" s="691"/>
      <c r="DN40" s="691"/>
      <c r="DO40" s="691"/>
      <c r="DP40" s="691"/>
      <c r="DQ40" s="691"/>
      <c r="DR40" s="691"/>
      <c r="DS40" s="1007" t="str">
        <f>AF53</f>
        <v>N.D.</v>
      </c>
      <c r="DT40" s="1007"/>
      <c r="DU40" s="1007"/>
      <c r="DV40" s="1007"/>
      <c r="DW40" s="62"/>
      <c r="DX40" s="1056" t="str">
        <f>AF74</f>
        <v>N.D.</v>
      </c>
      <c r="DY40" s="1056"/>
      <c r="DZ40" s="1056"/>
      <c r="EA40" s="1056"/>
      <c r="EB40" s="62"/>
      <c r="EC40" s="743" t="str">
        <f>IF(OR(DS40=N.D.,DX40=N.D.),N.D.,SUM(DS40,DX40))</f>
        <v>N.D.</v>
      </c>
      <c r="ED40" s="743"/>
      <c r="EE40" s="743"/>
      <c r="EF40" s="743"/>
      <c r="EG40" s="27"/>
      <c r="EH40" s="5" t="str">
        <f>IF(AF95=EC40,"ok","non")</f>
        <v>ok</v>
      </c>
    </row>
    <row r="41" spans="3:198" ht="15" customHeight="1" x14ac:dyDescent="0.25">
      <c r="C41" s="72"/>
      <c r="D41" s="5" t="s">
        <v>425</v>
      </c>
      <c r="E41" s="36"/>
      <c r="F41" s="124"/>
      <c r="I41" s="16" t="str">
        <f>puce1</f>
        <v>Ä</v>
      </c>
      <c r="J41" s="982" t="s">
        <v>470</v>
      </c>
      <c r="K41" s="982"/>
      <c r="L41" s="982"/>
      <c r="M41" s="982"/>
      <c r="N41" s="982"/>
      <c r="O41" s="982"/>
      <c r="P41" s="982"/>
      <c r="Q41" s="982"/>
      <c r="R41" s="982"/>
      <c r="S41" s="982"/>
      <c r="T41" s="1005" t="str">
        <f>IF(OR(gen_pop_RA="", gen_pop_MRC="",COUNTBLANK($Y$10:$Y$28)&gt;0),N.D.,DN$14)</f>
        <v>N.D.</v>
      </c>
      <c r="U41" s="1005"/>
      <c r="V41" s="1005"/>
      <c r="W41" s="128"/>
      <c r="X41" s="1005" t="str">
        <f>IF(OR(gen_pop_RA="", gen_pop_MRC="",COUNTBLANK($Y$10:$Y$28)&gt;0),N.D.,DO$14)</f>
        <v>N.D.</v>
      </c>
      <c r="Y41" s="1005"/>
      <c r="Z41" s="1005"/>
      <c r="AA41" s="128"/>
      <c r="AB41" s="1005" t="str">
        <f>IF(OR(gen_pop_RA="", gen_pop_MRC="",COUNTBLANK($Y$10:$Y$28)&gt;0),N.D.,DP$14)</f>
        <v>N.D.</v>
      </c>
      <c r="AC41" s="1005"/>
      <c r="AD41" s="1005"/>
      <c r="AE41" s="128"/>
      <c r="AF41" s="1005" t="str">
        <f>IF(OR(gen_pop_RA="", gen_pop_MRC="",COUNTBLANK($Y$10:$Y$28)&gt;0),N.D.,DQ$14)</f>
        <v>N.D.</v>
      </c>
      <c r="AG41" s="1005"/>
      <c r="AH41" s="1005"/>
      <c r="AM41" s="1024"/>
      <c r="AN41" s="1024"/>
      <c r="AO41" s="1024"/>
      <c r="AP41" s="494"/>
      <c r="AQ41" s="1024"/>
      <c r="AR41" s="1024"/>
      <c r="AS41" s="1024"/>
      <c r="AT41" s="494"/>
      <c r="AU41" s="1024"/>
      <c r="AV41" s="1024"/>
      <c r="AW41" s="1024"/>
      <c r="AX41" s="494"/>
      <c r="AY41" s="1024"/>
      <c r="AZ41" s="1024"/>
      <c r="BA41" s="1024"/>
      <c r="DF41" s="124"/>
      <c r="DJ41" s="57"/>
      <c r="EG41" s="27"/>
    </row>
    <row r="42" spans="3:198" ht="15" customHeight="1" x14ac:dyDescent="0.25">
      <c r="C42" s="72"/>
      <c r="D42" s="5" t="s">
        <v>429</v>
      </c>
      <c r="E42" s="36"/>
      <c r="F42" s="124"/>
      <c r="I42" s="16" t="str">
        <f>puce1</f>
        <v>Ä</v>
      </c>
      <c r="J42" s="982" t="s">
        <v>471</v>
      </c>
      <c r="K42" s="982"/>
      <c r="L42" s="982"/>
      <c r="M42" s="982"/>
      <c r="N42" s="982"/>
      <c r="O42" s="982"/>
      <c r="P42" s="982"/>
      <c r="Q42" s="982"/>
      <c r="R42" s="982"/>
      <c r="S42" s="982"/>
      <c r="T42" s="1005" t="str">
        <f>IF(OR(gen_pop_RA="", gen_pop_MRC="",COUNTBLANK($Y$10:$Y$28)&gt;0),N.D.,DN$19)</f>
        <v>N.D.</v>
      </c>
      <c r="U42" s="1005"/>
      <c r="V42" s="1005"/>
      <c r="W42" s="128"/>
      <c r="X42" s="1005" t="str">
        <f>IF(OR(gen_pop_RA="", gen_pop_MRC="",COUNTBLANK($Y$10:$Y$28)&gt;0),N.D.,DO$19)</f>
        <v>N.D.</v>
      </c>
      <c r="Y42" s="1005"/>
      <c r="Z42" s="1005"/>
      <c r="AA42" s="128"/>
      <c r="AB42" s="1005" t="str">
        <f>IF(OR(gen_pop_RA="", gen_pop_MRC="",COUNTBLANK($Y$10:$Y$28)&gt;0),N.D.,DP$19)</f>
        <v>N.D.</v>
      </c>
      <c r="AC42" s="1005"/>
      <c r="AD42" s="1005"/>
      <c r="AE42" s="128"/>
      <c r="AF42" s="1005" t="str">
        <f>IF(OR(gen_pop_RA="", gen_pop_MRC="",COUNTBLANK($Y$10:$Y$28)&gt;0),N.D.,DQ$19)</f>
        <v>N.D.</v>
      </c>
      <c r="AG42" s="1005"/>
      <c r="AH42" s="1005"/>
      <c r="AM42" s="1024"/>
      <c r="AN42" s="1024"/>
      <c r="AO42" s="1024"/>
      <c r="AP42" s="494"/>
      <c r="AQ42" s="1024"/>
      <c r="AR42" s="1024"/>
      <c r="AS42" s="1024"/>
      <c r="AT42" s="494"/>
      <c r="AU42" s="1024"/>
      <c r="AV42" s="1024"/>
      <c r="AW42" s="1024"/>
      <c r="AX42" s="494"/>
      <c r="AY42" s="1024"/>
      <c r="AZ42" s="1024"/>
      <c r="BA42" s="1024"/>
      <c r="DF42" s="124"/>
      <c r="DJ42" s="57"/>
      <c r="DK42" s="1026" t="s">
        <v>276</v>
      </c>
      <c r="DL42" s="1026"/>
      <c r="DM42" s="1026"/>
      <c r="DN42" s="1026"/>
      <c r="DO42" s="1026"/>
      <c r="DP42" s="1026"/>
      <c r="DQ42" s="1026"/>
      <c r="DR42" s="1026"/>
      <c r="DS42" s="1056" t="str">
        <f>IF(COUNTIF(DS37:DS40,N.D.)&gt;0,N.D.,SUM(DS37:DS40))</f>
        <v>N.D.</v>
      </c>
      <c r="DT42" s="1056"/>
      <c r="DU42" s="1056"/>
      <c r="DV42" s="1056"/>
      <c r="DW42" s="64"/>
      <c r="DX42" s="1056" t="str">
        <f>IF(COUNTIF(DX37:DX40,N.D.)&gt;0,N.D.,SUM(DX37:DX40))</f>
        <v>N.D.</v>
      </c>
      <c r="DY42" s="1056"/>
      <c r="DZ42" s="1056"/>
      <c r="EA42" s="1056"/>
      <c r="EB42" s="64"/>
      <c r="EC42" s="743" t="str">
        <f>IF(OR(DS42=N.D.,DX42=N.D.),N.D.,SUM(DS42,DX42))</f>
        <v>N.D.</v>
      </c>
      <c r="ED42" s="743"/>
      <c r="EE42" s="743"/>
      <c r="EF42" s="743"/>
      <c r="EG42" s="27"/>
      <c r="EH42" s="5" t="str">
        <f>IF(EC42=SUM(EC37:EC40),"ok","non")</f>
        <v>non</v>
      </c>
      <c r="FJ42" s="19"/>
      <c r="FK42" s="19"/>
      <c r="FL42" s="19"/>
      <c r="FM42" s="19"/>
      <c r="FN42" s="19"/>
      <c r="FO42" s="19"/>
      <c r="FP42" s="19"/>
      <c r="FQ42" s="19"/>
      <c r="FR42" s="19"/>
      <c r="FS42" s="19"/>
      <c r="FT42" s="19"/>
      <c r="FU42" s="19"/>
      <c r="FV42" s="73"/>
      <c r="FW42" s="19"/>
      <c r="FX42" s="19"/>
      <c r="FY42" s="19"/>
      <c r="FZ42" s="19"/>
      <c r="GA42" s="19"/>
      <c r="GB42" s="19"/>
      <c r="GC42" s="19"/>
      <c r="GD42" s="19"/>
      <c r="GE42" s="19"/>
      <c r="GF42" s="19"/>
      <c r="GG42" s="19"/>
      <c r="GH42" s="19"/>
      <c r="GI42" s="19"/>
      <c r="GJ42" s="19"/>
      <c r="GK42" s="19"/>
      <c r="GL42" s="19"/>
      <c r="GM42" s="19"/>
      <c r="GN42" s="19"/>
      <c r="GO42" s="19"/>
      <c r="GP42" s="19"/>
    </row>
    <row r="43" spans="3:198" ht="15" customHeight="1" thickBot="1" x14ac:dyDescent="0.3">
      <c r="C43" s="72"/>
      <c r="D43" s="72"/>
      <c r="E43" s="36"/>
      <c r="F43" s="124"/>
      <c r="I43" s="701" t="s">
        <v>477</v>
      </c>
      <c r="J43" s="701"/>
      <c r="K43" s="701"/>
      <c r="L43" s="701"/>
      <c r="M43" s="701"/>
      <c r="N43" s="701"/>
      <c r="O43" s="701"/>
      <c r="P43" s="701"/>
      <c r="Q43" s="701"/>
      <c r="R43" s="701"/>
      <c r="S43" s="701"/>
      <c r="T43" s="1009" t="str">
        <f>IF(COUNTIF(T44:T45,N.D.)&gt;0,N.D.,SUM(T44:T45))</f>
        <v>N.D.</v>
      </c>
      <c r="U43" s="1009"/>
      <c r="V43" s="1009"/>
      <c r="W43" s="171"/>
      <c r="X43" s="1009" t="str">
        <f>IF(COUNTIF(X44:X45,N.D.)&gt;0,N.D.,SUM(X44:X45))</f>
        <v>N.D.</v>
      </c>
      <c r="Y43" s="1009"/>
      <c r="Z43" s="1009"/>
      <c r="AA43" s="171"/>
      <c r="AB43" s="1009" t="str">
        <f>IF(COUNTIF(AB44:AB45,N.D.)&gt;0,N.D.,SUM(AB44:AB45))</f>
        <v>N.D.</v>
      </c>
      <c r="AC43" s="1009"/>
      <c r="AD43" s="1009"/>
      <c r="AE43" s="171"/>
      <c r="AF43" s="1009" t="str">
        <f>IF(COUNTIF(AF44:AF45,N.D.)&gt;0,N.D.,SUM(AF44:AF45))</f>
        <v>N.D.</v>
      </c>
      <c r="AG43" s="1009"/>
      <c r="AH43" s="1009"/>
      <c r="AM43" s="1009" t="str">
        <f>IF(COUNTA(AM44:AM45)=0,"",IF(COUNTBLANK(AM44:AM45)&gt;0,N.D.,SUM(AM44:AM45)))</f>
        <v/>
      </c>
      <c r="AN43" s="1009"/>
      <c r="AO43" s="1009"/>
      <c r="AP43" s="171"/>
      <c r="AQ43" s="1009" t="str">
        <f>IF(COUNTA(AQ44:AQ45)=0,"",IF(COUNTBLANK(AQ44:AQ45)&gt;0,N.D.,SUM(AQ44:AQ45)))</f>
        <v/>
      </c>
      <c r="AR43" s="1009"/>
      <c r="AS43" s="1009"/>
      <c r="AT43" s="171"/>
      <c r="AU43" s="1009" t="str">
        <f>IF(COUNTA(AU44:AU45)=0,"",IF(COUNTBLANK(AU44:AU45)&gt;0,N.D.,SUM(AU44:AU45)))</f>
        <v/>
      </c>
      <c r="AV43" s="1009"/>
      <c r="AW43" s="1009"/>
      <c r="AX43" s="171"/>
      <c r="AY43" s="1009" t="str">
        <f>IF(COUNTA(AY44:AY45)=0,"",IF(COUNTBLANK(AY44:AY45)&gt;0,N.D.,SUM(AY44:AY45)))</f>
        <v/>
      </c>
      <c r="AZ43" s="1009"/>
      <c r="BA43" s="1009"/>
      <c r="DF43" s="124"/>
      <c r="DJ43" s="58"/>
      <c r="DK43" s="34"/>
      <c r="DL43" s="34"/>
      <c r="DM43" s="34"/>
      <c r="DN43" s="34"/>
      <c r="DO43" s="34"/>
      <c r="DP43" s="34"/>
      <c r="DQ43" s="34"/>
      <c r="DR43" s="34"/>
      <c r="DS43" s="34"/>
      <c r="DT43" s="34"/>
      <c r="DU43" s="34"/>
      <c r="DV43" s="34"/>
      <c r="DW43" s="34"/>
      <c r="DX43" s="34"/>
      <c r="DY43" s="34"/>
      <c r="DZ43" s="34"/>
      <c r="EA43" s="34"/>
      <c r="EB43" s="34"/>
      <c r="EC43" s="1076"/>
      <c r="ED43" s="1076"/>
      <c r="EE43" s="1076"/>
      <c r="EF43" s="1076"/>
      <c r="EG43" s="35"/>
    </row>
    <row r="44" spans="3:198" ht="30" customHeight="1" thickBot="1" x14ac:dyDescent="0.3">
      <c r="C44" s="72"/>
      <c r="D44" s="5" t="s">
        <v>406</v>
      </c>
      <c r="E44" s="36"/>
      <c r="F44" s="124"/>
      <c r="I44" s="16" t="str">
        <f>puce1</f>
        <v>Ä</v>
      </c>
      <c r="J44" s="982" t="s">
        <v>472</v>
      </c>
      <c r="K44" s="982"/>
      <c r="L44" s="982"/>
      <c r="M44" s="982"/>
      <c r="N44" s="982"/>
      <c r="O44" s="982"/>
      <c r="P44" s="982"/>
      <c r="Q44" s="982"/>
      <c r="R44" s="982"/>
      <c r="S44" s="982"/>
      <c r="T44" s="1005" t="str">
        <f>IF(OR(gen_pop_RA="", gen_pop_MRC="",COUNTBLANK($Y$10:$Y$28)&gt;0),N.D.,DN$26)</f>
        <v>N.D.</v>
      </c>
      <c r="U44" s="1005"/>
      <c r="V44" s="1005"/>
      <c r="W44" s="128"/>
      <c r="X44" s="1005" t="str">
        <f>IF(OR(gen_pop_RA="", gen_pop_MRC="",COUNTBLANK($Y$10:$Y$28)&gt;0),N.D.,DO$26)</f>
        <v>N.D.</v>
      </c>
      <c r="Y44" s="1005"/>
      <c r="Z44" s="1005"/>
      <c r="AA44" s="128"/>
      <c r="AB44" s="1005" t="str">
        <f>IF(OR(gen_pop_RA="", gen_pop_MRC="",COUNTBLANK($Y$10:$Y$28)&gt;0),N.D.,DP$26)</f>
        <v>N.D.</v>
      </c>
      <c r="AC44" s="1005"/>
      <c r="AD44" s="1005"/>
      <c r="AE44" s="128"/>
      <c r="AF44" s="1005" t="str">
        <f>IF(OR(gen_pop_RA="", gen_pop_MRC="",COUNTBLANK($Y$10:$Y$28)&gt;0),N.D.,DQ$26)</f>
        <v>N.D.</v>
      </c>
      <c r="AG44" s="1005"/>
      <c r="AH44" s="1005"/>
      <c r="AM44" s="1024"/>
      <c r="AN44" s="1024"/>
      <c r="AO44" s="1024"/>
      <c r="AP44" s="494"/>
      <c r="AQ44" s="1024"/>
      <c r="AR44" s="1024"/>
      <c r="AS44" s="1024"/>
      <c r="AT44" s="494"/>
      <c r="AU44" s="1024"/>
      <c r="AV44" s="1024"/>
      <c r="AW44" s="1024"/>
      <c r="AX44" s="494"/>
      <c r="AY44" s="1024"/>
      <c r="AZ44" s="1024"/>
      <c r="BA44" s="1024"/>
      <c r="DF44" s="124"/>
      <c r="DJ44" s="106"/>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8"/>
      <c r="EJ44" s="1123" t="s">
        <v>799</v>
      </c>
      <c r="EK44" s="1123"/>
      <c r="EL44" s="1123"/>
      <c r="EM44" s="1123"/>
      <c r="EN44" s="1123"/>
      <c r="EO44" s="1123"/>
      <c r="EP44" s="1123"/>
      <c r="EQ44" s="1123"/>
      <c r="ER44" s="1123"/>
      <c r="ES44" s="1123"/>
      <c r="ET44" s="1123"/>
      <c r="EU44" s="1123"/>
      <c r="EV44" s="1123"/>
      <c r="EW44" s="1123"/>
    </row>
    <row r="45" spans="3:198" ht="15" customHeight="1" thickBot="1" x14ac:dyDescent="0.3">
      <c r="C45" s="72"/>
      <c r="D45" s="5" t="s">
        <v>428</v>
      </c>
      <c r="E45" s="36"/>
      <c r="F45" s="124"/>
      <c r="I45" s="16" t="str">
        <f>puce1</f>
        <v>Ä</v>
      </c>
      <c r="J45" s="982" t="s">
        <v>473</v>
      </c>
      <c r="K45" s="982"/>
      <c r="L45" s="982"/>
      <c r="M45" s="982"/>
      <c r="N45" s="982"/>
      <c r="O45" s="982"/>
      <c r="P45" s="982"/>
      <c r="Q45" s="982"/>
      <c r="R45" s="982"/>
      <c r="S45" s="982"/>
      <c r="T45" s="1005" t="str">
        <f>IF(OR(gen_pop_RA="", gen_pop_MRC="",COUNTBLANK($Y$10:$Y$28)&gt;0),N.D.,DN$18)</f>
        <v>N.D.</v>
      </c>
      <c r="U45" s="1005"/>
      <c r="V45" s="1005"/>
      <c r="W45" s="128"/>
      <c r="X45" s="1005" t="str">
        <f>IF(OR(gen_pop_RA="", gen_pop_MRC="",COUNTBLANK($Y$10:$Y$28)&gt;0),N.D.,DO$18)</f>
        <v>N.D.</v>
      </c>
      <c r="Y45" s="1005"/>
      <c r="Z45" s="1005"/>
      <c r="AA45" s="128"/>
      <c r="AB45" s="1005" t="str">
        <f>IF(OR(gen_pop_RA="", gen_pop_MRC="",COUNTBLANK($Y$10:$Y$28)&gt;0),N.D.,DP$18)</f>
        <v>N.D.</v>
      </c>
      <c r="AC45" s="1005"/>
      <c r="AD45" s="1005"/>
      <c r="AE45" s="128"/>
      <c r="AF45" s="1005" t="str">
        <f>IF(OR(gen_pop_RA="", gen_pop_MRC="",COUNTBLANK($Y$10:$Y$28)&gt;0),N.D.,DQ$18)</f>
        <v>N.D.</v>
      </c>
      <c r="AG45" s="1005"/>
      <c r="AH45" s="1005"/>
      <c r="AM45" s="1024"/>
      <c r="AN45" s="1024"/>
      <c r="AO45" s="1024"/>
      <c r="AP45" s="494"/>
      <c r="AQ45" s="1024"/>
      <c r="AR45" s="1024"/>
      <c r="AS45" s="1024"/>
      <c r="AT45" s="494"/>
      <c r="AU45" s="1024"/>
      <c r="AV45" s="1024"/>
      <c r="AW45" s="1024"/>
      <c r="AX45" s="494"/>
      <c r="AY45" s="1024"/>
      <c r="AZ45" s="1024"/>
      <c r="BA45" s="1024"/>
      <c r="DF45" s="124"/>
      <c r="DJ45" s="57"/>
      <c r="DK45" s="1000" t="s">
        <v>16</v>
      </c>
      <c r="DL45" s="1000"/>
      <c r="DM45" s="1000"/>
      <c r="DN45" s="1000"/>
      <c r="DO45" s="1000"/>
      <c r="DP45" s="1000"/>
      <c r="DQ45" s="1000"/>
      <c r="DR45" s="1000"/>
      <c r="DS45" s="1000"/>
      <c r="DT45" s="1000"/>
      <c r="DU45" s="1000"/>
      <c r="DV45" s="1000"/>
      <c r="DW45" s="1000"/>
      <c r="DX45" s="1000"/>
      <c r="DY45" s="1000"/>
      <c r="DZ45" s="1000"/>
      <c r="EA45" s="1000"/>
      <c r="EB45" s="1000"/>
      <c r="EC45" s="1000"/>
      <c r="ED45" s="1000"/>
      <c r="EE45" s="1000"/>
      <c r="EF45" s="1000"/>
      <c r="EG45" s="27"/>
      <c r="EI45" s="158"/>
      <c r="EJ45" s="159"/>
      <c r="EK45" s="159"/>
      <c r="EL45" s="159"/>
      <c r="EM45" s="159"/>
      <c r="EN45" s="159"/>
      <c r="EO45" s="159"/>
      <c r="EP45" s="159"/>
      <c r="EQ45" s="159"/>
      <c r="ER45" s="159"/>
      <c r="ES45" s="159"/>
      <c r="ET45" s="159"/>
      <c r="EU45" s="159"/>
      <c r="EV45" s="159"/>
      <c r="EW45" s="159"/>
      <c r="EX45" s="160"/>
    </row>
    <row r="46" spans="3:198" ht="15" customHeight="1" thickBot="1" x14ac:dyDescent="0.3">
      <c r="E46" s="36"/>
      <c r="F46" s="124"/>
      <c r="I46" s="701" t="s">
        <v>400</v>
      </c>
      <c r="J46" s="701"/>
      <c r="K46" s="701"/>
      <c r="L46" s="701"/>
      <c r="M46" s="701"/>
      <c r="N46" s="701"/>
      <c r="O46" s="701"/>
      <c r="P46" s="701"/>
      <c r="Q46" s="701"/>
      <c r="R46" s="701"/>
      <c r="S46" s="701"/>
      <c r="T46" s="1009" t="str">
        <f>IF(COUNTIF(T47:T49,N.D.)&gt;0,N.D.,SUM(T47:T49))</f>
        <v>N.D.</v>
      </c>
      <c r="U46" s="1009"/>
      <c r="V46" s="1009"/>
      <c r="W46" s="171"/>
      <c r="X46" s="1009" t="str">
        <f>IF(COUNTIF(X47:X49,N.D.)&gt;0,N.D.,SUM(X47:X49))</f>
        <v>N.D.</v>
      </c>
      <c r="Y46" s="1009"/>
      <c r="Z46" s="1009"/>
      <c r="AA46" s="171"/>
      <c r="AB46" s="1009" t="str">
        <f>IF(COUNTIF(AB47:AB49,N.D.)&gt;0,N.D.,SUM(AB47:AB49))</f>
        <v>N.D.</v>
      </c>
      <c r="AC46" s="1009"/>
      <c r="AD46" s="1009"/>
      <c r="AE46" s="171"/>
      <c r="AF46" s="1009" t="str">
        <f>IF(COUNTIF(AF47:AF49,N.D.)&gt;0,N.D.,SUM(AF47:AF49))</f>
        <v>N.D.</v>
      </c>
      <c r="AG46" s="1009"/>
      <c r="AH46" s="1009"/>
      <c r="AM46" s="1009" t="str">
        <f>IF(COUNTA(AM47:AM49)=0,"",IF(COUNTBLANK(AM47:AM49)&gt;0,N.D.,SUM(AM47:AM49)))</f>
        <v/>
      </c>
      <c r="AN46" s="1009"/>
      <c r="AO46" s="1009"/>
      <c r="AP46" s="171"/>
      <c r="AQ46" s="1009" t="str">
        <f>IF(COUNTA(AQ47:AQ49)=0,"",IF(COUNTBLANK(AQ47:AQ49)&gt;0,N.D.,SUM(AQ47:AQ49)))</f>
        <v/>
      </c>
      <c r="AR46" s="1009"/>
      <c r="AS46" s="1009"/>
      <c r="AT46" s="171"/>
      <c r="AU46" s="1009" t="str">
        <f>IF(COUNTA(AU47:AU49)=0,"",IF(COUNTBLANK(AU47:AU49)&gt;0,N.D.,SUM(AU47:AU49)))</f>
        <v/>
      </c>
      <c r="AV46" s="1009"/>
      <c r="AW46" s="1009"/>
      <c r="AX46" s="171"/>
      <c r="AY46" s="1009" t="str">
        <f>IF(COUNTA(AY47:AY49)=0,"",IF(COUNTBLANK(AY47:AY49)&gt;0,N.D.,SUM(AY47:AY49)))</f>
        <v/>
      </c>
      <c r="AZ46" s="1009"/>
      <c r="BA46" s="1009"/>
      <c r="DF46" s="124"/>
      <c r="DJ46" s="57"/>
      <c r="EG46" s="27"/>
      <c r="EI46" s="164"/>
      <c r="EJ46" s="1117" t="s">
        <v>26</v>
      </c>
      <c r="EK46" s="1118"/>
      <c r="EL46" s="1118"/>
      <c r="EM46" s="1118"/>
      <c r="EN46" s="1118"/>
      <c r="EO46" s="1118"/>
      <c r="EP46" s="1118"/>
      <c r="EQ46" s="1118"/>
      <c r="ER46" s="1118"/>
      <c r="ES46" s="1118"/>
      <c r="ET46" s="1118"/>
      <c r="EU46" s="1118"/>
      <c r="EV46" s="1118"/>
      <c r="EW46" s="1119"/>
      <c r="EX46" s="165"/>
    </row>
    <row r="47" spans="3:198" ht="15" customHeight="1" x14ac:dyDescent="0.25">
      <c r="D47" s="5" t="s">
        <v>430</v>
      </c>
      <c r="E47" s="36"/>
      <c r="F47" s="124"/>
      <c r="I47" s="16" t="str">
        <f>puce1</f>
        <v>Ä</v>
      </c>
      <c r="J47" s="982" t="s">
        <v>474</v>
      </c>
      <c r="K47" s="982"/>
      <c r="L47" s="982"/>
      <c r="M47" s="982"/>
      <c r="N47" s="982"/>
      <c r="O47" s="982"/>
      <c r="P47" s="982"/>
      <c r="Q47" s="982"/>
      <c r="R47" s="982"/>
      <c r="S47" s="982"/>
      <c r="T47" s="1005" t="str">
        <f>IF(OR(gen_pop_RA="", gen_pop_MRC="",COUNTBLANK($Y$10:$Y$28)&gt;0),N.D.,SUM(DN$20,DN$21,DN$22,DN$25,DN$27,DN$28))</f>
        <v>N.D.</v>
      </c>
      <c r="U47" s="1005"/>
      <c r="V47" s="1005"/>
      <c r="W47" s="128"/>
      <c r="X47" s="1005" t="str">
        <f>IF(OR(gen_pop_RA="", gen_pop_MRC="",COUNTBLANK($Y$10:$Y$28)&gt;0),N.D.,SUM(DO$20,DO$21,DO$22,DO$25,DO$27,DO$28))</f>
        <v>N.D.</v>
      </c>
      <c r="Y47" s="1005"/>
      <c r="Z47" s="1005"/>
      <c r="AA47" s="128"/>
      <c r="AB47" s="1005" t="str">
        <f>IF(OR(gen_pop_RA="", gen_pop_MRC="",COUNTBLANK($Y$10:$Y$28)&gt;0),N.D.,SUM(DP$20,DP$21,DP$22,DP$25,DP$27,DP$28))</f>
        <v>N.D.</v>
      </c>
      <c r="AC47" s="1005"/>
      <c r="AD47" s="1005"/>
      <c r="AE47" s="128"/>
      <c r="AF47" s="1005" t="str">
        <f>IF(OR(gen_pop_RA="", gen_pop_MRC="",COUNTBLANK($Y$10:$Y$28)&gt;0),N.D.,SUM(DQ$20,DQ$21,DQ$22,DQ$25,DQ$27,DQ$28))</f>
        <v>N.D.</v>
      </c>
      <c r="AG47" s="1005"/>
      <c r="AH47" s="1005"/>
      <c r="AM47" s="1024"/>
      <c r="AN47" s="1024"/>
      <c r="AO47" s="1024"/>
      <c r="AP47" s="494"/>
      <c r="AQ47" s="1024"/>
      <c r="AR47" s="1024"/>
      <c r="AS47" s="1024"/>
      <c r="AT47" s="494"/>
      <c r="AU47" s="1024"/>
      <c r="AV47" s="1024"/>
      <c r="AW47" s="1024"/>
      <c r="AX47" s="494"/>
      <c r="AY47" s="1024"/>
      <c r="AZ47" s="1024"/>
      <c r="BA47" s="1024"/>
      <c r="DF47" s="124"/>
      <c r="DJ47" s="57"/>
      <c r="DK47" s="26"/>
      <c r="DS47" s="1001" t="s">
        <v>285</v>
      </c>
      <c r="DT47" s="1001"/>
      <c r="DU47" s="1001"/>
      <c r="DV47" s="1001"/>
      <c r="DX47" s="1001" t="s">
        <v>286</v>
      </c>
      <c r="DY47" s="1001"/>
      <c r="DZ47" s="1001"/>
      <c r="EA47" s="1001"/>
      <c r="EC47" s="1001" t="s">
        <v>287</v>
      </c>
      <c r="ED47" s="1001"/>
      <c r="EE47" s="1001"/>
      <c r="EF47" s="1001"/>
      <c r="EG47" s="27"/>
      <c r="EI47" s="164"/>
      <c r="EJ47" s="714" t="str">
        <f>DS47</f>
        <v>Récupéré</v>
      </c>
      <c r="EK47" s="714"/>
      <c r="EL47" s="714"/>
      <c r="EM47" s="714"/>
      <c r="EN47" s="4"/>
      <c r="EO47" s="714" t="str">
        <f>DX47</f>
        <v>Éliminé</v>
      </c>
      <c r="EP47" s="714"/>
      <c r="EQ47" s="714"/>
      <c r="ER47" s="714"/>
      <c r="ES47" s="19"/>
      <c r="ET47" s="714" t="str">
        <f>EC47</f>
        <v>Généré</v>
      </c>
      <c r="EU47" s="714"/>
      <c r="EV47" s="714"/>
      <c r="EW47" s="714"/>
      <c r="EX47" s="165"/>
    </row>
    <row r="48" spans="3:198" ht="15" customHeight="1" x14ac:dyDescent="0.25">
      <c r="D48" s="5" t="s">
        <v>431</v>
      </c>
      <c r="E48" s="36"/>
      <c r="F48" s="124"/>
      <c r="I48" s="16" t="str">
        <f>puce1</f>
        <v>Ä</v>
      </c>
      <c r="J48" s="982" t="s">
        <v>475</v>
      </c>
      <c r="K48" s="982"/>
      <c r="L48" s="982"/>
      <c r="M48" s="982"/>
      <c r="N48" s="982"/>
      <c r="O48" s="982"/>
      <c r="P48" s="982"/>
      <c r="Q48" s="982"/>
      <c r="R48" s="982"/>
      <c r="S48" s="982"/>
      <c r="T48" s="1005" t="str">
        <f>IF(OR(gen_pop_RA="", gen_pop_MRC="",COUNTBLANK($Y$10:$Y$28)&gt;0),N.D.,DN$23)</f>
        <v>N.D.</v>
      </c>
      <c r="U48" s="1005"/>
      <c r="V48" s="1005"/>
      <c r="W48" s="128"/>
      <c r="X48" s="1005" t="str">
        <f>IF(OR(gen_pop_RA="", gen_pop_MRC="",COUNTBLANK($Y$10:$Y$28)&gt;0),N.D.,DO$23)</f>
        <v>N.D.</v>
      </c>
      <c r="Y48" s="1005"/>
      <c r="Z48" s="1005"/>
      <c r="AA48" s="128"/>
      <c r="AB48" s="1005" t="str">
        <f>IF(OR(gen_pop_RA="", gen_pop_MRC="",COUNTBLANK($Y$10:$Y$28)&gt;0),N.D.,DP$23)</f>
        <v>N.D.</v>
      </c>
      <c r="AC48" s="1005"/>
      <c r="AD48" s="1005"/>
      <c r="AE48" s="128"/>
      <c r="AF48" s="1005" t="str">
        <f>IF(OR(gen_pop_RA="", gen_pop_MRC="",COUNTBLANK($Y$10:$Y$28)&gt;0),N.D.,DQ$23)</f>
        <v>N.D.</v>
      </c>
      <c r="AG48" s="1005"/>
      <c r="AH48" s="1005"/>
      <c r="AM48" s="1024"/>
      <c r="AN48" s="1024"/>
      <c r="AO48" s="1024"/>
      <c r="AP48" s="494"/>
      <c r="AQ48" s="1024"/>
      <c r="AR48" s="1024"/>
      <c r="AS48" s="1024"/>
      <c r="AT48" s="494"/>
      <c r="AU48" s="1024"/>
      <c r="AV48" s="1024"/>
      <c r="AW48" s="1024"/>
      <c r="AX48" s="494"/>
      <c r="AY48" s="1024"/>
      <c r="AZ48" s="1024"/>
      <c r="BA48" s="1024"/>
      <c r="DF48" s="124"/>
      <c r="DJ48" s="57"/>
      <c r="DK48" s="701" t="s">
        <v>385</v>
      </c>
      <c r="DL48" s="701"/>
      <c r="DM48" s="701"/>
      <c r="DN48" s="701"/>
      <c r="DO48" s="701"/>
      <c r="DP48" s="701"/>
      <c r="DQ48" s="701"/>
      <c r="DR48" s="701"/>
      <c r="DS48" s="1007" t="str">
        <f>IF(OR(DS37=N.D.,EJ48=N.D.),N.D.,DS37+EJ48)</f>
        <v>N.D.</v>
      </c>
      <c r="DT48" s="1007"/>
      <c r="DU48" s="1007"/>
      <c r="DV48" s="1007"/>
      <c r="DW48" s="62"/>
      <c r="DX48" s="1007" t="str">
        <f>IF(OR(DX37=N.D.,EO48=N.D.),N.D.,DX37+EO48)</f>
        <v>N.D.</v>
      </c>
      <c r="DY48" s="1007"/>
      <c r="DZ48" s="1007"/>
      <c r="EA48" s="1007"/>
      <c r="EB48" s="62"/>
      <c r="EC48" s="743" t="str">
        <f>IF(OR(DS48=N.D.,DX48=N.D.),N.D.,SUM(DS48,DX48))</f>
        <v>N.D.</v>
      </c>
      <c r="ED48" s="743"/>
      <c r="EE48" s="743"/>
      <c r="EF48" s="743"/>
      <c r="EG48" s="27"/>
      <c r="EI48" s="164"/>
      <c r="EJ48" s="702">
        <v>0</v>
      </c>
      <c r="EK48" s="702"/>
      <c r="EL48" s="702"/>
      <c r="EM48" s="702"/>
      <c r="EN48" s="163"/>
      <c r="EO48" s="702">
        <v>0</v>
      </c>
      <c r="EP48" s="702"/>
      <c r="EQ48" s="702"/>
      <c r="ER48" s="702"/>
      <c r="ES48" s="163"/>
      <c r="ET48" s="702">
        <v>0</v>
      </c>
      <c r="EU48" s="702"/>
      <c r="EV48" s="702"/>
      <c r="EW48" s="702"/>
      <c r="EX48" s="165"/>
    </row>
    <row r="49" spans="4:154" ht="15" customHeight="1" x14ac:dyDescent="0.25">
      <c r="D49" s="5" t="s">
        <v>432</v>
      </c>
      <c r="E49" s="36"/>
      <c r="F49" s="124"/>
      <c r="I49" s="16" t="str">
        <f>puce1</f>
        <v>Ä</v>
      </c>
      <c r="J49" s="982" t="s">
        <v>476</v>
      </c>
      <c r="K49" s="982"/>
      <c r="L49" s="982"/>
      <c r="M49" s="982"/>
      <c r="N49" s="982"/>
      <c r="O49" s="982"/>
      <c r="P49" s="982"/>
      <c r="Q49" s="982"/>
      <c r="R49" s="982"/>
      <c r="S49" s="982"/>
      <c r="T49" s="1005" t="str">
        <f>IF(OR(gen_pop_RA="", gen_pop_MRC="",COUNTBLANK($Y$10:$Y$28)&gt;0),N.D.,DN$24)</f>
        <v>N.D.</v>
      </c>
      <c r="U49" s="1005"/>
      <c r="V49" s="1005"/>
      <c r="W49" s="128"/>
      <c r="X49" s="1005" t="str">
        <f>IF(OR(gen_pop_RA="", gen_pop_MRC="",COUNTBLANK($Y$10:$Y$28)&gt;0),N.D.,DO$24)</f>
        <v>N.D.</v>
      </c>
      <c r="Y49" s="1005"/>
      <c r="Z49" s="1005"/>
      <c r="AA49" s="128"/>
      <c r="AB49" s="1005" t="str">
        <f>IF(OR(gen_pop_RA="", gen_pop_MRC="",COUNTBLANK($Y$10:$Y$28)&gt;0),N.D.,DP$24)</f>
        <v>N.D.</v>
      </c>
      <c r="AC49" s="1005"/>
      <c r="AD49" s="1005"/>
      <c r="AE49" s="128"/>
      <c r="AF49" s="1005" t="str">
        <f>IF(OR(gen_pop_RA="", gen_pop_MRC="",COUNTBLANK($Y$10:$Y$28)&gt;0),N.D.,DQ$24)</f>
        <v>N.D.</v>
      </c>
      <c r="AG49" s="1005"/>
      <c r="AH49" s="1005"/>
      <c r="AM49" s="1024"/>
      <c r="AN49" s="1024"/>
      <c r="AO49" s="1024"/>
      <c r="AP49" s="494"/>
      <c r="AQ49" s="1024"/>
      <c r="AR49" s="1024"/>
      <c r="AS49" s="1024"/>
      <c r="AT49" s="494"/>
      <c r="AU49" s="1024"/>
      <c r="AV49" s="1024"/>
      <c r="AW49" s="1024"/>
      <c r="AX49" s="494"/>
      <c r="AY49" s="1024"/>
      <c r="AZ49" s="1024"/>
      <c r="BA49" s="1024"/>
      <c r="DF49" s="124"/>
      <c r="DJ49" s="57"/>
      <c r="DK49" s="691" t="s">
        <v>387</v>
      </c>
      <c r="DL49" s="691"/>
      <c r="DM49" s="691"/>
      <c r="DN49" s="691"/>
      <c r="DO49" s="691"/>
      <c r="DP49" s="691"/>
      <c r="DQ49" s="691"/>
      <c r="DR49" s="691"/>
      <c r="DS49" s="1007" t="str">
        <f>IF(OR(DS38=N.D.,EJ49=N.D.),N.D.,DS38+EJ49)</f>
        <v>N.D.</v>
      </c>
      <c r="DT49" s="1007"/>
      <c r="DU49" s="1007"/>
      <c r="DV49" s="1007"/>
      <c r="DW49" s="62"/>
      <c r="DX49" s="1007" t="str">
        <f>IF(OR(DX38=N.D.,EO49=N.D.),N.D.,DX38+EO49)</f>
        <v>N.D.</v>
      </c>
      <c r="DY49" s="1007"/>
      <c r="DZ49" s="1007"/>
      <c r="EA49" s="1007"/>
      <c r="EB49" s="62"/>
      <c r="EC49" s="743" t="str">
        <f>IF(OR(DS49=N.D.,DX49=N.D.),N.D.,SUM(DS49,DX49))</f>
        <v>N.D.</v>
      </c>
      <c r="ED49" s="743"/>
      <c r="EE49" s="743"/>
      <c r="EF49" s="743"/>
      <c r="EG49" s="27"/>
      <c r="EI49" s="164"/>
      <c r="EJ49" s="702">
        <v>0</v>
      </c>
      <c r="EK49" s="702"/>
      <c r="EL49" s="702"/>
      <c r="EM49" s="702"/>
      <c r="EN49" s="163"/>
      <c r="EO49" s="702">
        <v>0</v>
      </c>
      <c r="EP49" s="702"/>
      <c r="EQ49" s="702"/>
      <c r="ER49" s="702"/>
      <c r="ES49" s="163"/>
      <c r="ET49" s="702">
        <v>0</v>
      </c>
      <c r="EU49" s="702"/>
      <c r="EV49" s="702"/>
      <c r="EW49" s="702"/>
      <c r="EX49" s="165"/>
    </row>
    <row r="50" spans="4:154" ht="11.25" customHeight="1" x14ac:dyDescent="0.25">
      <c r="E50" s="36"/>
      <c r="F50" s="124"/>
      <c r="I50" s="16"/>
      <c r="J50" s="205"/>
      <c r="K50" s="205"/>
      <c r="L50" s="205"/>
      <c r="M50" s="205"/>
      <c r="N50" s="205"/>
      <c r="O50" s="205"/>
      <c r="P50" s="205"/>
      <c r="Q50" s="205"/>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DF50" s="124"/>
      <c r="DK50" s="691" t="s">
        <v>388</v>
      </c>
      <c r="DL50" s="691"/>
      <c r="DM50" s="691"/>
      <c r="DN50" s="691"/>
      <c r="DO50" s="691"/>
      <c r="DP50" s="691"/>
      <c r="DQ50" s="691"/>
      <c r="DR50" s="691"/>
      <c r="DS50" s="1007" t="str">
        <f>IF(OR(DS39=N.D.,EJ50=N.D.),N.D.,DS39+EJ50)</f>
        <v>N.D.</v>
      </c>
      <c r="DT50" s="1007"/>
      <c r="DU50" s="1007"/>
      <c r="DV50" s="1007"/>
      <c r="DW50" s="62"/>
      <c r="DX50" s="1007" t="str">
        <f>IF(OR(DX39=N.D.,EO50=N.D.),N.D.,DX39+EO50)</f>
        <v>N.D.</v>
      </c>
      <c r="DY50" s="1007"/>
      <c r="DZ50" s="1007"/>
      <c r="EA50" s="1007"/>
      <c r="EB50" s="62"/>
      <c r="EC50" s="743" t="str">
        <f>IF(OR(DS50=N.D.,DX50=N.D.),N.D.,SUM(DS50,DX50))</f>
        <v>N.D.</v>
      </c>
      <c r="ED50" s="743"/>
      <c r="EE50" s="743"/>
      <c r="EF50" s="743"/>
      <c r="EI50" s="164"/>
      <c r="EJ50" s="702">
        <v>0</v>
      </c>
      <c r="EK50" s="702"/>
      <c r="EL50" s="702"/>
      <c r="EM50" s="702"/>
      <c r="EN50" s="163"/>
      <c r="EO50" s="702">
        <v>0</v>
      </c>
      <c r="EP50" s="702"/>
      <c r="EQ50" s="702"/>
      <c r="ER50" s="702"/>
      <c r="ES50" s="163"/>
      <c r="ET50" s="702">
        <v>0</v>
      </c>
      <c r="EU50" s="702"/>
      <c r="EV50" s="702"/>
      <c r="EW50" s="702"/>
      <c r="EX50" s="165"/>
    </row>
    <row r="51" spans="4:154" ht="15" customHeight="1" x14ac:dyDescent="0.25">
      <c r="E51" s="36"/>
      <c r="F51" s="124"/>
      <c r="AG51" s="691" t="s">
        <v>626</v>
      </c>
      <c r="AH51" s="691"/>
      <c r="AI51" s="691"/>
      <c r="AJ51" s="691"/>
      <c r="AK51" s="691"/>
      <c r="AL51" s="691"/>
      <c r="AM51" s="1037"/>
      <c r="AN51" s="1037"/>
      <c r="AO51" s="1037"/>
      <c r="AP51" s="128"/>
      <c r="AQ51" s="1037"/>
      <c r="AR51" s="1037"/>
      <c r="AS51" s="1037"/>
      <c r="AT51" s="128"/>
      <c r="AU51" s="1037"/>
      <c r="AV51" s="1037"/>
      <c r="AW51" s="1037"/>
      <c r="AX51" s="128"/>
      <c r="AY51" s="1037"/>
      <c r="AZ51" s="1037"/>
      <c r="BA51" s="1037"/>
      <c r="DF51" s="124"/>
      <c r="DK51" s="691" t="s">
        <v>386</v>
      </c>
      <c r="DL51" s="691"/>
      <c r="DM51" s="691"/>
      <c r="DN51" s="691"/>
      <c r="DO51" s="691"/>
      <c r="DP51" s="691"/>
      <c r="DQ51" s="691"/>
      <c r="DR51" s="691"/>
      <c r="DS51" s="1007" t="str">
        <f>IF(OR(DS40=N.D.,EJ51=N.D.),N.D.,DS40+EJ51)</f>
        <v>N.D.</v>
      </c>
      <c r="DT51" s="1007"/>
      <c r="DU51" s="1007"/>
      <c r="DV51" s="1007"/>
      <c r="DW51" s="62"/>
      <c r="DX51" s="1007" t="str">
        <f>IF(OR(DX40=N.D.,EO51=N.D.),N.D.,DX40+EO51)</f>
        <v>N.D.</v>
      </c>
      <c r="DY51" s="1007"/>
      <c r="DZ51" s="1007"/>
      <c r="EA51" s="1007"/>
      <c r="EB51" s="62"/>
      <c r="EC51" s="743" t="str">
        <f>IF(OR(DS51=N.D.,DX51=N.D.),N.D.,SUM(DS51,DX51))</f>
        <v>N.D.</v>
      </c>
      <c r="ED51" s="743"/>
      <c r="EE51" s="743"/>
      <c r="EF51" s="743"/>
      <c r="EI51" s="164"/>
      <c r="EJ51" s="702">
        <v>0</v>
      </c>
      <c r="EK51" s="702"/>
      <c r="EL51" s="702"/>
      <c r="EM51" s="702"/>
      <c r="EN51" s="163"/>
      <c r="EO51" s="702">
        <v>0</v>
      </c>
      <c r="EP51" s="702"/>
      <c r="EQ51" s="702"/>
      <c r="ER51" s="702"/>
      <c r="ES51" s="163"/>
      <c r="ET51" s="702">
        <v>0</v>
      </c>
      <c r="EU51" s="702"/>
      <c r="EV51" s="702"/>
      <c r="EW51" s="702"/>
      <c r="EX51" s="165"/>
    </row>
    <row r="52" spans="4:154" ht="11.25" customHeight="1" x14ac:dyDescent="0.25">
      <c r="F52" s="124"/>
      <c r="I52" s="189"/>
      <c r="J52" s="189"/>
      <c r="K52" s="189"/>
      <c r="L52" s="189"/>
      <c r="M52" s="189"/>
      <c r="N52" s="189"/>
      <c r="O52" s="189"/>
      <c r="P52" s="189"/>
      <c r="Q52" s="63"/>
      <c r="R52" s="63"/>
      <c r="S52" s="63"/>
      <c r="T52" s="63"/>
      <c r="U52" s="63"/>
      <c r="V52" s="63"/>
      <c r="W52" s="63"/>
      <c r="X52" s="63"/>
      <c r="Y52" s="63"/>
      <c r="Z52" s="63"/>
      <c r="AA52" s="63"/>
      <c r="AB52" s="63"/>
      <c r="AC52" s="63"/>
      <c r="AD52" s="63"/>
      <c r="AE52" s="63"/>
      <c r="AM52" s="63"/>
      <c r="AN52" s="63"/>
      <c r="AO52" s="63"/>
      <c r="AP52" s="63"/>
      <c r="AQ52" s="63"/>
      <c r="AR52" s="63"/>
      <c r="AS52" s="63"/>
      <c r="AT52" s="63"/>
      <c r="AU52" s="63"/>
      <c r="AV52" s="63"/>
      <c r="AW52" s="63"/>
      <c r="AX52" s="63"/>
      <c r="AY52" s="63"/>
      <c r="AZ52" s="63"/>
      <c r="BA52" s="63"/>
      <c r="DF52" s="124"/>
      <c r="DJ52" s="57"/>
      <c r="EG52" s="27"/>
      <c r="EI52" s="164"/>
      <c r="EJ52" s="163"/>
      <c r="EK52" s="163"/>
      <c r="EL52" s="163"/>
      <c r="EM52" s="163"/>
      <c r="EN52" s="163"/>
      <c r="EO52" s="163"/>
      <c r="EP52" s="163"/>
      <c r="EQ52" s="163"/>
      <c r="ER52" s="163"/>
      <c r="ES52" s="163"/>
      <c r="ET52" s="163"/>
      <c r="EU52" s="163"/>
      <c r="EV52" s="163"/>
      <c r="EW52" s="163"/>
      <c r="EX52" s="165"/>
    </row>
    <row r="53" spans="4:154" ht="15" customHeight="1" x14ac:dyDescent="0.25">
      <c r="F53" s="124"/>
      <c r="I53" s="1026" t="s">
        <v>276</v>
      </c>
      <c r="J53" s="1026"/>
      <c r="K53" s="1026"/>
      <c r="L53" s="1026"/>
      <c r="M53" s="1026"/>
      <c r="N53" s="1026"/>
      <c r="O53" s="1026"/>
      <c r="P53" s="1026"/>
      <c r="Q53" s="1026"/>
      <c r="R53" s="1026"/>
      <c r="S53" s="1026"/>
      <c r="T53" s="765" t="str">
        <f>IF(COUNTIF(T37:T49,N.D.)&gt;0,N.D.,SUM(T37,T43,T46))</f>
        <v>N.D.</v>
      </c>
      <c r="U53" s="765"/>
      <c r="V53" s="765"/>
      <c r="W53" s="171"/>
      <c r="X53" s="765" t="str">
        <f>IF(COUNTIF(X37:X49,N.D.)&gt;0,N.D.,SUM(X37,X43,X46))</f>
        <v>N.D.</v>
      </c>
      <c r="Y53" s="765"/>
      <c r="Z53" s="765"/>
      <c r="AA53" s="172"/>
      <c r="AB53" s="765" t="str">
        <f>IF(COUNTIF(AB37:AB49,N.D.)&gt;0,N.D.,SUM(AB37,AB43,AB46))</f>
        <v>N.D.</v>
      </c>
      <c r="AC53" s="765"/>
      <c r="AD53" s="765"/>
      <c r="AE53" s="172"/>
      <c r="AF53" s="765" t="str">
        <f>IF(COUNTIF(AF37:AF49,N.D.)&gt;0,N.D.,SUM(AF37,AF43,AF46))</f>
        <v>N.D.</v>
      </c>
      <c r="AG53" s="765"/>
      <c r="AH53" s="765"/>
      <c r="AM53" s="765">
        <f>IF(COUNTA(AM37:AM51)=0,"",IF(AND(ici_utiliser_donnees=menu_utilisateur,OR(COUNTBLANK(AM37:AM49)&gt;0,AM51="")),N.D.,SUM(AM37,AM43,AM46,AM51)))</f>
        <v>0</v>
      </c>
      <c r="AN53" s="765"/>
      <c r="AO53" s="765"/>
      <c r="AP53" s="171"/>
      <c r="AQ53" s="765">
        <f>IF(COUNTA(AQ37:AQ51)=0,"",IF(AND(ici_utiliser_donnees=menu_utilisateur,OR(COUNTBLANK(AQ37:AQ49)&gt;0,AQ51="")),N.D.,SUM(AQ37,AQ43,AQ46,AQ51)))</f>
        <v>0</v>
      </c>
      <c r="AR53" s="765"/>
      <c r="AS53" s="765"/>
      <c r="AT53" s="172"/>
      <c r="AU53" s="765">
        <f>IF(COUNTA(AU37:AU51)=0,"",IF(AND(ici_utiliser_donnees=menu_utilisateur,OR(COUNTBLANK(AU37:AU49)&gt;0,AU51="")),N.D.,SUM(AU37,AU43,AU46,AU51)))</f>
        <v>0</v>
      </c>
      <c r="AV53" s="765"/>
      <c r="AW53" s="765"/>
      <c r="AX53" s="172"/>
      <c r="AY53" s="765">
        <f>IF(COUNTA(AY37:AY51)=0,"",IF(AND(ici_utiliser_donnees=menu_utilisateur,OR(COUNTBLANK(AY37:AY49)&gt;0,AY51="")),N.D.,SUM(AY37,AY43,AY46,AY51)))</f>
        <v>0</v>
      </c>
      <c r="AZ53" s="765"/>
      <c r="BA53" s="765"/>
      <c r="DF53" s="124"/>
      <c r="DJ53" s="57"/>
      <c r="DK53" s="1026" t="s">
        <v>276</v>
      </c>
      <c r="DL53" s="1026"/>
      <c r="DM53" s="1026"/>
      <c r="DN53" s="1026"/>
      <c r="DO53" s="1026"/>
      <c r="DP53" s="1026"/>
      <c r="DQ53" s="1026"/>
      <c r="DR53" s="1026"/>
      <c r="DS53" s="1056" t="str">
        <f>IF(COUNTIF(DS48:DS51,N.D.)&gt;0,N.D.,SUM(DS48:DS51))</f>
        <v>N.D.</v>
      </c>
      <c r="DT53" s="1056"/>
      <c r="DU53" s="1056"/>
      <c r="DV53" s="1056"/>
      <c r="DW53" s="64"/>
      <c r="DX53" s="1056" t="str">
        <f>IF(COUNTIF(DX48:DX51,N.D.)&gt;0,N.D.,SUM(DX48:DX51))</f>
        <v>N.D.</v>
      </c>
      <c r="DY53" s="1056"/>
      <c r="DZ53" s="1056"/>
      <c r="EA53" s="1056"/>
      <c r="EB53" s="64"/>
      <c r="EC53" s="743" t="str">
        <f>IF(OR(DS53=N.D.,DX53=N.D.),N.D.,SUM(DS53,DX53))</f>
        <v>N.D.</v>
      </c>
      <c r="ED53" s="743"/>
      <c r="EE53" s="743"/>
      <c r="EF53" s="743"/>
      <c r="EG53" s="27"/>
      <c r="EI53" s="164"/>
      <c r="EJ53" s="702">
        <v>0</v>
      </c>
      <c r="EK53" s="702"/>
      <c r="EL53" s="702"/>
      <c r="EM53" s="702"/>
      <c r="EN53"/>
      <c r="EO53" s="702">
        <v>0</v>
      </c>
      <c r="EP53" s="702"/>
      <c r="EQ53" s="702"/>
      <c r="ER53" s="702"/>
      <c r="ES53"/>
      <c r="ET53" s="702">
        <v>0</v>
      </c>
      <c r="EU53" s="702"/>
      <c r="EV53" s="702"/>
      <c r="EW53" s="702"/>
      <c r="EX53" s="165"/>
    </row>
    <row r="54" spans="4:154" ht="15" customHeight="1" thickBot="1" x14ac:dyDescent="0.3">
      <c r="F54" s="124"/>
      <c r="I54" s="770" t="str">
        <f>IF((COUNTIF(T53,N.D.)+(COUNTIF(X53,N.D.)))=0,"",N.D.)</f>
        <v>N.D.</v>
      </c>
      <c r="J54" s="770"/>
      <c r="K54" s="735" t="str">
        <f>IF(I54=N.D.,txt_N.D.&amp;'Données générales'!J8&amp;", "&amp;'Données générales'!AH8&amp;" ou "&amp;I5,"")</f>
        <v>Non disponible : vérifiez les données à la question 1.3, 1.5 ou 3.1.</v>
      </c>
      <c r="L54" s="735"/>
      <c r="M54" s="735"/>
      <c r="N54" s="735"/>
      <c r="O54" s="735"/>
      <c r="P54" s="735"/>
      <c r="Q54" s="735"/>
      <c r="R54" s="735"/>
      <c r="S54" s="735"/>
      <c r="T54" s="735"/>
      <c r="U54" s="735"/>
      <c r="V54" s="735"/>
      <c r="W54" s="735"/>
      <c r="X54" s="735"/>
      <c r="Y54" s="735"/>
      <c r="Z54" s="735"/>
      <c r="AA54" s="735"/>
      <c r="AB54" s="735"/>
      <c r="AC54" s="735"/>
      <c r="AD54" s="735"/>
      <c r="DF54" s="124"/>
      <c r="DJ54" s="58"/>
      <c r="DK54" s="34"/>
      <c r="DL54" s="34"/>
      <c r="DM54" s="34"/>
      <c r="DN54" s="34"/>
      <c r="DO54" s="34"/>
      <c r="DP54" s="34"/>
      <c r="DQ54" s="34"/>
      <c r="DR54" s="34"/>
      <c r="DS54" s="34"/>
      <c r="DT54" s="34"/>
      <c r="DU54" s="34"/>
      <c r="DV54" s="34"/>
      <c r="DW54" s="34"/>
      <c r="DX54" s="34"/>
      <c r="DY54" s="34"/>
      <c r="DZ54" s="34"/>
      <c r="EA54" s="34"/>
      <c r="EB54" s="34"/>
      <c r="EC54" s="34"/>
      <c r="ED54" s="34"/>
      <c r="EE54" s="34"/>
      <c r="EF54" s="34"/>
      <c r="EG54" s="35"/>
      <c r="EI54" s="166"/>
      <c r="EJ54" s="167"/>
      <c r="EK54" s="167"/>
      <c r="EL54" s="167"/>
      <c r="EM54" s="167"/>
      <c r="EN54" s="167"/>
      <c r="EO54" s="167"/>
      <c r="EP54" s="167"/>
      <c r="EQ54" s="167"/>
      <c r="ER54" s="167"/>
      <c r="ES54" s="167"/>
      <c r="ET54" s="167"/>
      <c r="EU54" s="167"/>
      <c r="EV54" s="167"/>
      <c r="EW54" s="167"/>
      <c r="EX54" s="168"/>
    </row>
    <row r="55" spans="4:154" ht="15" customHeight="1" x14ac:dyDescent="0.25">
      <c r="F55" s="124"/>
      <c r="I55" s="102"/>
      <c r="J55" s="102"/>
      <c r="K55" s="19"/>
      <c r="L55" s="19"/>
      <c r="M55" s="19"/>
      <c r="N55" s="19"/>
      <c r="O55" s="19"/>
      <c r="P55" s="19"/>
      <c r="Q55" s="19"/>
      <c r="R55" s="19"/>
      <c r="S55" s="19"/>
      <c r="T55" s="19"/>
      <c r="U55" s="19"/>
      <c r="V55" s="19"/>
      <c r="W55" s="19"/>
      <c r="X55" s="19"/>
      <c r="Y55" s="19"/>
      <c r="Z55" s="19"/>
      <c r="AA55" s="19"/>
      <c r="AB55" s="19"/>
      <c r="AC55" s="19"/>
      <c r="AD55" s="19"/>
      <c r="AH55" s="36"/>
      <c r="DF55" s="124"/>
    </row>
    <row r="56" spans="4:154" ht="15" customHeight="1" x14ac:dyDescent="0.25">
      <c r="F56" s="124"/>
      <c r="I56" s="19"/>
      <c r="J56" s="73"/>
      <c r="L56" s="19"/>
      <c r="M56" s="19"/>
      <c r="N56" s="19"/>
      <c r="O56" s="19"/>
      <c r="P56" s="19"/>
      <c r="T56" s="1077" t="s">
        <v>479</v>
      </c>
      <c r="U56" s="1077"/>
      <c r="V56" s="1077"/>
      <c r="W56" s="1077"/>
      <c r="X56" s="1077"/>
      <c r="Y56" s="1077"/>
      <c r="Z56" s="1077"/>
      <c r="AA56" s="1077"/>
      <c r="AB56" s="1077"/>
      <c r="AC56" s="1077"/>
      <c r="AD56" s="1077"/>
      <c r="AE56" s="1077"/>
      <c r="AF56" s="1077"/>
      <c r="AG56" s="1077"/>
      <c r="AH56" s="1077"/>
      <c r="AM56" s="1077" t="s">
        <v>479</v>
      </c>
      <c r="AN56" s="1077"/>
      <c r="AO56" s="1077"/>
      <c r="AP56" s="1077"/>
      <c r="AQ56" s="1077"/>
      <c r="AR56" s="1077"/>
      <c r="AS56" s="1077"/>
      <c r="AT56" s="1077"/>
      <c r="AU56" s="1077"/>
      <c r="AV56" s="1077"/>
      <c r="AW56" s="1077"/>
      <c r="AX56" s="1077"/>
      <c r="AY56" s="1077"/>
      <c r="AZ56" s="1077"/>
      <c r="BA56" s="1077"/>
      <c r="DF56" s="124"/>
    </row>
    <row r="57" spans="4:154" ht="15" customHeight="1" thickBot="1" x14ac:dyDescent="0.3">
      <c r="F57" s="124"/>
      <c r="I57" s="19"/>
      <c r="J57" s="73"/>
      <c r="L57" s="19"/>
      <c r="M57" s="19"/>
      <c r="N57" s="19"/>
      <c r="O57" s="19"/>
      <c r="P57" s="19"/>
      <c r="T57" s="1001" t="str">
        <f>T36</f>
        <v>Fibres (t)</v>
      </c>
      <c r="U57" s="1001"/>
      <c r="V57" s="1001"/>
      <c r="X57" s="1001" t="str">
        <f>X36</f>
        <v>Métal (t)</v>
      </c>
      <c r="Y57" s="1001"/>
      <c r="Z57" s="1001"/>
      <c r="AA57" s="1038" t="str">
        <f>AA36</f>
        <v>Plastique (t)</v>
      </c>
      <c r="AB57" s="1038"/>
      <c r="AC57" s="1038"/>
      <c r="AD57" s="1038"/>
      <c r="AE57" s="1038"/>
      <c r="AF57" s="1001" t="str">
        <f>AF36</f>
        <v>Verre (t)</v>
      </c>
      <c r="AG57" s="1001"/>
      <c r="AH57" s="1001"/>
      <c r="AM57" s="1001" t="str">
        <f>AM36</f>
        <v>Fibres (t)</v>
      </c>
      <c r="AN57" s="1001"/>
      <c r="AO57" s="1001"/>
      <c r="AQ57" s="1001" t="str">
        <f>AQ36</f>
        <v>Métal (t)</v>
      </c>
      <c r="AR57" s="1001"/>
      <c r="AS57" s="1001"/>
      <c r="AT57" s="1038" t="str">
        <f>AT36</f>
        <v>Plastique (t)</v>
      </c>
      <c r="AU57" s="1038"/>
      <c r="AV57" s="1038"/>
      <c r="AW57" s="1038"/>
      <c r="AX57" s="1038"/>
      <c r="AY57" s="1001" t="str">
        <f>AY36</f>
        <v>Verre (t)</v>
      </c>
      <c r="AZ57" s="1001"/>
      <c r="BA57" s="1001"/>
      <c r="DF57" s="124"/>
      <c r="DJ57" s="57"/>
      <c r="EG57" s="27"/>
    </row>
    <row r="58" spans="4:154" ht="15" customHeight="1" x14ac:dyDescent="0.25">
      <c r="F58" s="124"/>
      <c r="I58" s="701" t="str">
        <f t="shared" ref="I58:I70" si="7">I37</f>
        <v>Industriel</v>
      </c>
      <c r="J58" s="701"/>
      <c r="K58" s="701"/>
      <c r="L58" s="701"/>
      <c r="M58" s="701"/>
      <c r="N58" s="701"/>
      <c r="O58" s="701"/>
      <c r="P58" s="701"/>
      <c r="Q58" s="701"/>
      <c r="R58" s="701"/>
      <c r="S58" s="701"/>
      <c r="T58" s="1009" t="str">
        <f>IF(COUNTIF(T59:T63,N.D.)&gt;0,N.D.,SUM(T59:T63))</f>
        <v>N.D.</v>
      </c>
      <c r="U58" s="1009"/>
      <c r="V58" s="1009"/>
      <c r="W58" s="170"/>
      <c r="X58" s="1009" t="str">
        <f>IF(COUNTIF(X59:X63,N.D.)&gt;0,N.D.,SUM(X59:X63))</f>
        <v>N.D.</v>
      </c>
      <c r="Y58" s="1009"/>
      <c r="Z58" s="1009"/>
      <c r="AA58" s="170"/>
      <c r="AB58" s="1009" t="str">
        <f>IF(COUNTIF(AB59:AB63,N.D.)&gt;0,N.D.,SUM(AB59:AB63))</f>
        <v>N.D.</v>
      </c>
      <c r="AC58" s="1009"/>
      <c r="AD58" s="1009"/>
      <c r="AE58" s="170"/>
      <c r="AF58" s="1009" t="str">
        <f>IF(COUNTIF(AF59:AF63,N.D.)&gt;0,N.D.,SUM(AF59:AF63))</f>
        <v>N.D.</v>
      </c>
      <c r="AG58" s="1009"/>
      <c r="AH58" s="1009"/>
      <c r="AM58" s="1009" t="str">
        <f>IF(COUNTA(AM59:AM63)=0,"",IF(COUNTBLANK(AM59:AM63)&gt;0,N.D.,SUM(AM59:AM63)))</f>
        <v/>
      </c>
      <c r="AN58" s="1009"/>
      <c r="AO58" s="1009"/>
      <c r="AP58" s="170"/>
      <c r="AQ58" s="1009" t="str">
        <f>IF(COUNTA(AQ59:AQ63)=0,"",IF(COUNTBLANK(AQ59:AQ63)&gt;0,N.D.,SUM(AQ59:AQ63)))</f>
        <v/>
      </c>
      <c r="AR58" s="1009"/>
      <c r="AS58" s="1009"/>
      <c r="AT58" s="170"/>
      <c r="AU58" s="1009" t="str">
        <f>IF(COUNTA(AU59:AU63)=0,"",IF(COUNTBLANK(AU59:AU63)&gt;0,N.D.,SUM(AU59:AU63)))</f>
        <v/>
      </c>
      <c r="AV58" s="1009"/>
      <c r="AW58" s="1009"/>
      <c r="AX58" s="170"/>
      <c r="AY58" s="1009" t="str">
        <f>IF(COUNTA(AY59:AY63)=0,"",IF(COUNTBLANK(AY59:AY63)&gt;0,N.D.,SUM(AY59:AY63)))</f>
        <v/>
      </c>
      <c r="AZ58" s="1009"/>
      <c r="BA58" s="1009"/>
      <c r="DF58" s="124"/>
      <c r="DJ58" s="106"/>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8"/>
    </row>
    <row r="59" spans="4:154" ht="15" customHeight="1" x14ac:dyDescent="0.25">
      <c r="F59" s="124"/>
      <c r="I59" s="16" t="str">
        <f t="shared" si="7"/>
        <v>Ä</v>
      </c>
      <c r="J59" s="982" t="str">
        <f>J38</f>
        <v>Agriculture</v>
      </c>
      <c r="K59" s="982"/>
      <c r="L59" s="982"/>
      <c r="M59" s="982"/>
      <c r="N59" s="982"/>
      <c r="O59" s="982"/>
      <c r="P59" s="982"/>
      <c r="Q59" s="982"/>
      <c r="R59" s="982"/>
      <c r="S59" s="982"/>
      <c r="T59" s="1005" t="str">
        <f>IF(OR(gen_pop_RA="", gen_pop_MRC="",COUNTBLANK($Y$10:$Y$28)&gt;0),N.D.,DW$12)</f>
        <v>N.D.</v>
      </c>
      <c r="U59" s="1005"/>
      <c r="V59" s="1005"/>
      <c r="W59" s="128"/>
      <c r="X59" s="1005" t="str">
        <f>IF(OR(gen_pop_RA="", gen_pop_MRC="",COUNTBLANK($Y$10:$Y$28)&gt;0),N.D.,DX$12)</f>
        <v>N.D.</v>
      </c>
      <c r="Y59" s="1005"/>
      <c r="Z59" s="1005"/>
      <c r="AA59" s="128"/>
      <c r="AB59" s="1005" t="str">
        <f>IF(OR(gen_pop_RA="", gen_pop_MRC="",COUNTBLANK($Y$10:$Y$28)&gt;0),N.D.,DY$12)</f>
        <v>N.D.</v>
      </c>
      <c r="AC59" s="1005"/>
      <c r="AD59" s="1005"/>
      <c r="AE59" s="128"/>
      <c r="AF59" s="1005" t="str">
        <f>IF(OR(gen_pop_RA="", gen_pop_MRC="",COUNTBLANK($Y$10:$Y$28)&gt;0),N.D.,DZ$12)</f>
        <v>N.D.</v>
      </c>
      <c r="AG59" s="1005"/>
      <c r="AH59" s="1005"/>
      <c r="AM59" s="1024"/>
      <c r="AN59" s="1024"/>
      <c r="AO59" s="1024"/>
      <c r="AP59" s="494"/>
      <c r="AQ59" s="1024"/>
      <c r="AR59" s="1024"/>
      <c r="AS59" s="1024"/>
      <c r="AT59" s="494"/>
      <c r="AU59" s="1024"/>
      <c r="AV59" s="1024"/>
      <c r="AW59" s="1024"/>
      <c r="AX59" s="494"/>
      <c r="AY59" s="1024"/>
      <c r="AZ59" s="1024"/>
      <c r="BA59" s="1024"/>
      <c r="DF59" s="124"/>
      <c r="DJ59" s="57"/>
      <c r="DK59" s="1000" t="s">
        <v>24</v>
      </c>
      <c r="DL59" s="1000"/>
      <c r="DM59" s="1000"/>
      <c r="DN59" s="1000"/>
      <c r="DO59" s="1000"/>
      <c r="DP59" s="1000"/>
      <c r="DQ59" s="1000"/>
      <c r="DR59" s="1000"/>
      <c r="DS59" s="1000"/>
      <c r="DT59" s="1000"/>
      <c r="DU59" s="1000"/>
      <c r="DV59" s="1000"/>
      <c r="DW59" s="1000"/>
      <c r="DX59" s="1000"/>
      <c r="DY59" s="1000"/>
      <c r="DZ59" s="1000"/>
      <c r="EA59" s="1000"/>
      <c r="EB59" s="1000"/>
      <c r="EC59" s="1000"/>
      <c r="ED59" s="1000"/>
      <c r="EE59" s="1000"/>
      <c r="EF59" s="1000"/>
      <c r="EG59" s="27"/>
    </row>
    <row r="60" spans="4:154" ht="30" customHeight="1" x14ac:dyDescent="0.25">
      <c r="F60" s="124"/>
      <c r="I60" s="16" t="str">
        <f t="shared" si="7"/>
        <v>Ä</v>
      </c>
      <c r="J60" s="982" t="str">
        <f>J39</f>
        <v>Foresterie, pêche, mines et extraction de pétrole et de gaz</v>
      </c>
      <c r="K60" s="982"/>
      <c r="L60" s="982"/>
      <c r="M60" s="982"/>
      <c r="N60" s="982"/>
      <c r="O60" s="982"/>
      <c r="P60" s="982"/>
      <c r="Q60" s="982"/>
      <c r="R60" s="982"/>
      <c r="S60" s="982"/>
      <c r="T60" s="1005" t="str">
        <f>IF(OR(gen_pop_RA="", gen_pop_MRC="",COUNTBLANK($Y$10:$Y$28)&gt;0),N.D.,DW$13)</f>
        <v>N.D.</v>
      </c>
      <c r="U60" s="1005"/>
      <c r="V60" s="1005"/>
      <c r="W60" s="128"/>
      <c r="X60" s="1005" t="str">
        <f>IF(OR(gen_pop_RA="", gen_pop_MRC="",COUNTBLANK($Y$10:$Y$28)&gt;0),N.D.,DX$13)</f>
        <v>N.D.</v>
      </c>
      <c r="Y60" s="1005"/>
      <c r="Z60" s="1005"/>
      <c r="AA60" s="128"/>
      <c r="AB60" s="1005" t="str">
        <f>IF(OR(gen_pop_RA="", gen_pop_MRC="",COUNTBLANK($Y$10:$Y$28)&gt;0),N.D.,DY$13)</f>
        <v>N.D.</v>
      </c>
      <c r="AC60" s="1005"/>
      <c r="AD60" s="1005"/>
      <c r="AE60" s="128"/>
      <c r="AF60" s="1005" t="str">
        <f>IF(OR(gen_pop_RA="", gen_pop_MRC="",COUNTBLANK($Y$10:$Y$28)&gt;0),N.D.,DZ$13)</f>
        <v>N.D.</v>
      </c>
      <c r="AG60" s="1005"/>
      <c r="AH60" s="1005"/>
      <c r="AM60" s="1024"/>
      <c r="AN60" s="1024"/>
      <c r="AO60" s="1024"/>
      <c r="AP60" s="494"/>
      <c r="AQ60" s="1024"/>
      <c r="AR60" s="1024"/>
      <c r="AS60" s="1024"/>
      <c r="AT60" s="494"/>
      <c r="AU60" s="1024"/>
      <c r="AV60" s="1024"/>
      <c r="AW60" s="1024"/>
      <c r="AX60" s="494"/>
      <c r="AY60" s="1024"/>
      <c r="AZ60" s="1024"/>
      <c r="BA60" s="1024"/>
      <c r="DF60" s="124"/>
      <c r="DJ60" s="57"/>
      <c r="EG60" s="27"/>
    </row>
    <row r="61" spans="4:154" ht="15" customHeight="1" x14ac:dyDescent="0.25">
      <c r="F61" s="124"/>
      <c r="I61" s="16" t="str">
        <f t="shared" si="7"/>
        <v>Ä</v>
      </c>
      <c r="J61" s="982" t="str">
        <f>J40</f>
        <v>Manufacturier</v>
      </c>
      <c r="K61" s="982"/>
      <c r="L61" s="982"/>
      <c r="M61" s="982"/>
      <c r="N61" s="982"/>
      <c r="O61" s="982"/>
      <c r="P61" s="982"/>
      <c r="Q61" s="982"/>
      <c r="R61" s="982"/>
      <c r="S61" s="982"/>
      <c r="T61" s="1005" t="str">
        <f>IF(OR(gen_pop_RA="", gen_pop_MRC="",COUNTBLANK($Y$10:$Y$28)&gt;0),N.D.,DW$16)</f>
        <v>N.D.</v>
      </c>
      <c r="U61" s="1005"/>
      <c r="V61" s="1005"/>
      <c r="W61" s="128"/>
      <c r="X61" s="1005" t="str">
        <f>IF(OR(gen_pop_RA="", gen_pop_MRC="",COUNTBLANK($Y$10:$Y$28)&gt;0),N.D.,DX$16)</f>
        <v>N.D.</v>
      </c>
      <c r="Y61" s="1005"/>
      <c r="Z61" s="1005"/>
      <c r="AA61" s="128"/>
      <c r="AB61" s="1005" t="str">
        <f>IF(OR(gen_pop_RA="", gen_pop_MRC="",COUNTBLANK($Y$10:$Y$28)&gt;0),N.D.,DY$16)</f>
        <v>N.D.</v>
      </c>
      <c r="AC61" s="1005"/>
      <c r="AD61" s="1005"/>
      <c r="AE61" s="128"/>
      <c r="AF61" s="1005" t="str">
        <f>IF(OR(gen_pop_RA="", gen_pop_MRC="",COUNTBLANK($Y$10:$Y$28)&gt;0),N.D.,DZ$16)</f>
        <v>N.D.</v>
      </c>
      <c r="AG61" s="1005"/>
      <c r="AH61" s="1005"/>
      <c r="AM61" s="1024"/>
      <c r="AN61" s="1024"/>
      <c r="AO61" s="1024"/>
      <c r="AP61" s="494"/>
      <c r="AQ61" s="1024"/>
      <c r="AR61" s="1024"/>
      <c r="AS61" s="1024"/>
      <c r="AT61" s="494"/>
      <c r="AU61" s="1024"/>
      <c r="AV61" s="1024"/>
      <c r="AW61" s="1024"/>
      <c r="AX61" s="494"/>
      <c r="AY61" s="1024"/>
      <c r="AZ61" s="1024"/>
      <c r="BA61" s="1024"/>
      <c r="DF61" s="124"/>
      <c r="DJ61" s="57"/>
      <c r="DK61" s="26"/>
      <c r="DS61" s="1001" t="s">
        <v>285</v>
      </c>
      <c r="DT61" s="1001"/>
      <c r="DU61" s="1001"/>
      <c r="DV61" s="1001"/>
      <c r="DX61" s="1001" t="s">
        <v>286</v>
      </c>
      <c r="DY61" s="1001"/>
      <c r="DZ61" s="1001"/>
      <c r="EA61" s="1001"/>
      <c r="EC61" s="1001" t="s">
        <v>287</v>
      </c>
      <c r="ED61" s="1001"/>
      <c r="EE61" s="1001"/>
      <c r="EF61" s="1001"/>
      <c r="EG61" s="27"/>
    </row>
    <row r="62" spans="4:154" ht="15" customHeight="1" x14ac:dyDescent="0.25">
      <c r="F62" s="124"/>
      <c r="I62" s="16" t="str">
        <f t="shared" si="7"/>
        <v>Ä</v>
      </c>
      <c r="J62" s="982" t="str">
        <f>J41</f>
        <v>Utilités publiques</v>
      </c>
      <c r="K62" s="982"/>
      <c r="L62" s="982"/>
      <c r="M62" s="982"/>
      <c r="N62" s="982"/>
      <c r="O62" s="982"/>
      <c r="P62" s="982"/>
      <c r="Q62" s="982"/>
      <c r="R62" s="982"/>
      <c r="S62" s="982"/>
      <c r="T62" s="1005" t="str">
        <f>IF(OR(gen_pop_RA="", gen_pop_MRC="",COUNTBLANK($Y$10:$Y$28)&gt;0),N.D.,DW$14)</f>
        <v>N.D.</v>
      </c>
      <c r="U62" s="1005"/>
      <c r="V62" s="1005"/>
      <c r="W62" s="128"/>
      <c r="X62" s="1005" t="str">
        <f>IF(OR(gen_pop_RA="", gen_pop_MRC="",COUNTBLANK($Y$10:$Y$28)&gt;0),N.D.,DX$14)</f>
        <v>N.D.</v>
      </c>
      <c r="Y62" s="1005"/>
      <c r="Z62" s="1005"/>
      <c r="AA62" s="128"/>
      <c r="AB62" s="1005" t="str">
        <f>IF(OR(gen_pop_RA="", gen_pop_MRC="",COUNTBLANK($Y$10:$Y$28)&gt;0),N.D.,DY$14)</f>
        <v>N.D.</v>
      </c>
      <c r="AC62" s="1005"/>
      <c r="AD62" s="1005"/>
      <c r="AE62" s="128"/>
      <c r="AF62" s="1005" t="str">
        <f>IF(OR(gen_pop_RA="", gen_pop_MRC="",COUNTBLANK($Y$10:$Y$28)&gt;0),N.D.,DZ$14)</f>
        <v>N.D.</v>
      </c>
      <c r="AG62" s="1005"/>
      <c r="AH62" s="1005"/>
      <c r="AM62" s="1024"/>
      <c r="AN62" s="1024"/>
      <c r="AO62" s="1024"/>
      <c r="AP62" s="494"/>
      <c r="AQ62" s="1024"/>
      <c r="AR62" s="1024"/>
      <c r="AS62" s="1024"/>
      <c r="AT62" s="494"/>
      <c r="AU62" s="1024"/>
      <c r="AV62" s="1024"/>
      <c r="AW62" s="1024"/>
      <c r="AX62" s="494"/>
      <c r="AY62" s="1024"/>
      <c r="AZ62" s="1024"/>
      <c r="BA62" s="1024"/>
      <c r="DF62" s="124"/>
      <c r="DJ62" s="57"/>
      <c r="DK62" s="701" t="s">
        <v>385</v>
      </c>
      <c r="DL62" s="701"/>
      <c r="DM62" s="701"/>
      <c r="DN62" s="701"/>
      <c r="DO62" s="701"/>
      <c r="DP62" s="701"/>
      <c r="DQ62" s="701"/>
      <c r="DR62" s="701"/>
      <c r="DS62" s="1007">
        <f>AM53</f>
        <v>0</v>
      </c>
      <c r="DT62" s="1007"/>
      <c r="DU62" s="1007"/>
      <c r="DV62" s="1007"/>
      <c r="DW62" s="62"/>
      <c r="DX62" s="1007">
        <f>AM74</f>
        <v>0</v>
      </c>
      <c r="DY62" s="1007"/>
      <c r="DZ62" s="1007"/>
      <c r="EA62" s="1007"/>
      <c r="EB62" s="62"/>
      <c r="EC62" s="743">
        <f>IF(OR(DS62=N.D.,DX62=N.D.),N.D.,SUM(DS62,DX62))</f>
        <v>0</v>
      </c>
      <c r="ED62" s="743"/>
      <c r="EE62" s="743"/>
      <c r="EF62" s="743"/>
      <c r="EG62" s="27"/>
      <c r="EH62" s="5" t="str">
        <f>IF(AM95=EC62,"ok","non")</f>
        <v>ok</v>
      </c>
    </row>
    <row r="63" spans="4:154" ht="15" customHeight="1" x14ac:dyDescent="0.25">
      <c r="F63" s="124"/>
      <c r="I63" s="16" t="str">
        <f t="shared" si="7"/>
        <v>Ä</v>
      </c>
      <c r="J63" s="982" t="str">
        <f>J42</f>
        <v>Transport et entreposage</v>
      </c>
      <c r="K63" s="982"/>
      <c r="L63" s="982"/>
      <c r="M63" s="982"/>
      <c r="N63" s="982"/>
      <c r="O63" s="982"/>
      <c r="P63" s="982"/>
      <c r="Q63" s="982"/>
      <c r="R63" s="982"/>
      <c r="S63" s="982"/>
      <c r="T63" s="1005" t="str">
        <f>IF(OR(gen_pop_RA="", gen_pop_MRC="",COUNTBLANK($Y$10:$Y$28)&gt;0),N.D.,DW$19)</f>
        <v>N.D.</v>
      </c>
      <c r="U63" s="1005"/>
      <c r="V63" s="1005"/>
      <c r="W63" s="128"/>
      <c r="X63" s="1005" t="str">
        <f>IF(OR(gen_pop_RA="", gen_pop_MRC="",COUNTBLANK($Y$10:$Y$28)&gt;0),N.D.,DX$19)</f>
        <v>N.D.</v>
      </c>
      <c r="Y63" s="1005"/>
      <c r="Z63" s="1005"/>
      <c r="AA63" s="128"/>
      <c r="AB63" s="1005" t="str">
        <f>IF(OR(gen_pop_RA="", gen_pop_MRC="",COUNTBLANK($Y$10:$Y$28)&gt;0),N.D.,DY$19)</f>
        <v>N.D.</v>
      </c>
      <c r="AC63" s="1005"/>
      <c r="AD63" s="1005"/>
      <c r="AE63" s="128"/>
      <c r="AF63" s="1005" t="str">
        <f>IF(OR(gen_pop_RA="", gen_pop_MRC="",COUNTBLANK($Y$10:$Y$28)&gt;0),N.D.,DZ$19)</f>
        <v>N.D.</v>
      </c>
      <c r="AG63" s="1005"/>
      <c r="AH63" s="1005"/>
      <c r="AM63" s="1024"/>
      <c r="AN63" s="1024"/>
      <c r="AO63" s="1024"/>
      <c r="AP63" s="494"/>
      <c r="AQ63" s="1024"/>
      <c r="AR63" s="1024"/>
      <c r="AS63" s="1024"/>
      <c r="AT63" s="494"/>
      <c r="AU63" s="1024"/>
      <c r="AV63" s="1024"/>
      <c r="AW63" s="1024"/>
      <c r="AX63" s="494"/>
      <c r="AY63" s="1024"/>
      <c r="AZ63" s="1024"/>
      <c r="BA63" s="1024"/>
      <c r="DF63" s="124"/>
      <c r="DJ63" s="57"/>
      <c r="DK63" s="691" t="s">
        <v>387</v>
      </c>
      <c r="DL63" s="691"/>
      <c r="DM63" s="691"/>
      <c r="DN63" s="691"/>
      <c r="DO63" s="691"/>
      <c r="DP63" s="691"/>
      <c r="DQ63" s="691"/>
      <c r="DR63" s="691"/>
      <c r="DS63" s="1007">
        <f>AQ53</f>
        <v>0</v>
      </c>
      <c r="DT63" s="1007"/>
      <c r="DU63" s="1007"/>
      <c r="DV63" s="1007"/>
      <c r="DW63" s="62"/>
      <c r="DX63" s="1056">
        <f>AQ74</f>
        <v>0</v>
      </c>
      <c r="DY63" s="1056"/>
      <c r="DZ63" s="1056"/>
      <c r="EA63" s="1056"/>
      <c r="EB63" s="62"/>
      <c r="EC63" s="743">
        <f>IF(OR(DS63=N.D.,DX63=N.D.),N.D.,SUM(DS63,DX63))</f>
        <v>0</v>
      </c>
      <c r="ED63" s="743"/>
      <c r="EE63" s="743"/>
      <c r="EF63" s="743"/>
      <c r="EG63" s="27"/>
      <c r="EH63" s="5" t="str">
        <f>IF(AQ95=EC63,"ok","non")</f>
        <v>ok</v>
      </c>
    </row>
    <row r="64" spans="4:154" ht="15" customHeight="1" x14ac:dyDescent="0.25">
      <c r="F64" s="124"/>
      <c r="I64" s="701" t="str">
        <f t="shared" si="7"/>
        <v>Commercial</v>
      </c>
      <c r="J64" s="701"/>
      <c r="K64" s="701"/>
      <c r="L64" s="701"/>
      <c r="M64" s="701"/>
      <c r="N64" s="701"/>
      <c r="O64" s="701"/>
      <c r="P64" s="701"/>
      <c r="Q64" s="701"/>
      <c r="R64" s="701"/>
      <c r="S64" s="701"/>
      <c r="T64" s="1009" t="str">
        <f>IF(COUNTIF(T65:T66,N.D.)&gt;0,N.D.,SUM(T65:T66))</f>
        <v>N.D.</v>
      </c>
      <c r="U64" s="1009"/>
      <c r="V64" s="1009"/>
      <c r="W64" s="171"/>
      <c r="X64" s="1009" t="str">
        <f>IF(COUNTIF(X65:X66,N.D.)&gt;0,N.D.,SUM(X65:X66))</f>
        <v>N.D.</v>
      </c>
      <c r="Y64" s="1009"/>
      <c r="Z64" s="1009"/>
      <c r="AA64" s="171"/>
      <c r="AB64" s="1009" t="str">
        <f>IF(COUNTIF(AB65:AB66,N.D.)&gt;0,N.D.,SUM(AB65:AB66))</f>
        <v>N.D.</v>
      </c>
      <c r="AC64" s="1009"/>
      <c r="AD64" s="1009"/>
      <c r="AE64" s="171"/>
      <c r="AF64" s="1009" t="str">
        <f>IF(COUNTIF(AF65:AF66,N.D.)&gt;0,N.D.,SUM(AF65:AF66))</f>
        <v>N.D.</v>
      </c>
      <c r="AG64" s="1009"/>
      <c r="AH64" s="1009"/>
      <c r="AM64" s="1009" t="str">
        <f>IF(COUNTA(AM65:AM66)=0,"",IF(COUNTBLANK(AM65:AM66)&gt;0,N.D.,SUM(AM65:AM66)))</f>
        <v/>
      </c>
      <c r="AN64" s="1009"/>
      <c r="AO64" s="1009"/>
      <c r="AP64" s="171"/>
      <c r="AQ64" s="1009" t="str">
        <f>IF(COUNTA(AQ65:AQ66)=0,"",IF(COUNTBLANK(AQ65:AQ66)&gt;0,N.D.,SUM(AQ65:AQ66)))</f>
        <v/>
      </c>
      <c r="AR64" s="1009"/>
      <c r="AS64" s="1009"/>
      <c r="AT64" s="171"/>
      <c r="AU64" s="1009" t="str">
        <f>IF(COUNTA(AU65:AU66)=0,"",IF(COUNTBLANK(AU65:AU66)&gt;0,N.D.,SUM(AU65:AU66)))</f>
        <v/>
      </c>
      <c r="AV64" s="1009"/>
      <c r="AW64" s="1009"/>
      <c r="AX64" s="171"/>
      <c r="AY64" s="1009" t="str">
        <f>IF(COUNTA(AY65:AY66)=0,"",IF(COUNTBLANK(AY65:AY66)&gt;0,N.D.,SUM(AY65:AY66)))</f>
        <v/>
      </c>
      <c r="AZ64" s="1009"/>
      <c r="BA64" s="1009"/>
      <c r="DF64" s="124"/>
      <c r="DJ64" s="57"/>
      <c r="DK64" s="691" t="s">
        <v>388</v>
      </c>
      <c r="DL64" s="691"/>
      <c r="DM64" s="691"/>
      <c r="DN64" s="691"/>
      <c r="DO64" s="691"/>
      <c r="DP64" s="691"/>
      <c r="DQ64" s="691"/>
      <c r="DR64" s="691"/>
      <c r="DS64" s="1007">
        <f>AU53</f>
        <v>0</v>
      </c>
      <c r="DT64" s="1007"/>
      <c r="DU64" s="1007"/>
      <c r="DV64" s="1007"/>
      <c r="DW64" s="62"/>
      <c r="DX64" s="1056">
        <f>AU74</f>
        <v>0</v>
      </c>
      <c r="DY64" s="1056"/>
      <c r="DZ64" s="1056"/>
      <c r="EA64" s="1056"/>
      <c r="EB64" s="62"/>
      <c r="EC64" s="743">
        <f>IF(OR(DS64=N.D.,DX64=N.D.),N.D.,SUM(DS64,DX64))</f>
        <v>0</v>
      </c>
      <c r="ED64" s="743"/>
      <c r="EE64" s="743"/>
      <c r="EF64" s="743"/>
      <c r="EG64" s="27"/>
      <c r="EH64" s="5" t="str">
        <f>IF(AU95=EC64,"ok","non")</f>
        <v>ok</v>
      </c>
    </row>
    <row r="65" spans="6:138" ht="30" customHeight="1" x14ac:dyDescent="0.25">
      <c r="F65" s="124"/>
      <c r="I65" s="16" t="str">
        <f t="shared" si="7"/>
        <v>Ä</v>
      </c>
      <c r="J65" s="982" t="str">
        <f>J44</f>
        <v>Hébergement et services de restauration</v>
      </c>
      <c r="K65" s="982"/>
      <c r="L65" s="982"/>
      <c r="M65" s="982"/>
      <c r="N65" s="982"/>
      <c r="O65" s="982"/>
      <c r="P65" s="982"/>
      <c r="Q65" s="982"/>
      <c r="R65" s="982"/>
      <c r="S65" s="982"/>
      <c r="T65" s="1005" t="str">
        <f>IF(OR(gen_pop_RA="", gen_pop_MRC="",COUNTBLANK($Y$10:$Y$28)&gt;0),N.D.,DW$26)</f>
        <v>N.D.</v>
      </c>
      <c r="U65" s="1005"/>
      <c r="V65" s="1005"/>
      <c r="W65" s="128"/>
      <c r="X65" s="1005" t="str">
        <f>IF(OR(gen_pop_RA="", gen_pop_MRC="",COUNTBLANK($Y$10:$Y$28)&gt;0),N.D.,DX$26)</f>
        <v>N.D.</v>
      </c>
      <c r="Y65" s="1005"/>
      <c r="Z65" s="1005"/>
      <c r="AA65" s="128"/>
      <c r="AB65" s="1005" t="str">
        <f>IF(OR(gen_pop_RA="", gen_pop_MRC="",COUNTBLANK($Y$10:$Y$28)&gt;0),N.D.,DY$26)</f>
        <v>N.D.</v>
      </c>
      <c r="AC65" s="1005"/>
      <c r="AD65" s="1005"/>
      <c r="AE65" s="128"/>
      <c r="AF65" s="1005" t="str">
        <f>IF(OR(gen_pop_RA="", gen_pop_MRC="",COUNTBLANK($Y$10:$Y$28)&gt;0),N.D.,DZ$26)</f>
        <v>N.D.</v>
      </c>
      <c r="AG65" s="1005"/>
      <c r="AH65" s="1005"/>
      <c r="AM65" s="1024"/>
      <c r="AN65" s="1024"/>
      <c r="AO65" s="1024"/>
      <c r="AP65" s="494"/>
      <c r="AQ65" s="1024"/>
      <c r="AR65" s="1024"/>
      <c r="AS65" s="1024"/>
      <c r="AT65" s="494"/>
      <c r="AU65" s="1024"/>
      <c r="AV65" s="1024"/>
      <c r="AW65" s="1024"/>
      <c r="AX65" s="494"/>
      <c r="AY65" s="1024"/>
      <c r="AZ65" s="1024"/>
      <c r="BA65" s="1024"/>
      <c r="DF65" s="124"/>
      <c r="DJ65" s="57"/>
      <c r="DK65" s="691" t="s">
        <v>386</v>
      </c>
      <c r="DL65" s="691"/>
      <c r="DM65" s="691"/>
      <c r="DN65" s="691"/>
      <c r="DO65" s="691"/>
      <c r="DP65" s="691"/>
      <c r="DQ65" s="691"/>
      <c r="DR65" s="691"/>
      <c r="DS65" s="1007">
        <f>AY53</f>
        <v>0</v>
      </c>
      <c r="DT65" s="1007"/>
      <c r="DU65" s="1007"/>
      <c r="DV65" s="1007"/>
      <c r="DW65" s="62"/>
      <c r="DX65" s="1056">
        <f>AY74</f>
        <v>0</v>
      </c>
      <c r="DY65" s="1056"/>
      <c r="DZ65" s="1056"/>
      <c r="EA65" s="1056"/>
      <c r="EB65" s="62"/>
      <c r="EC65" s="743">
        <f>IF(OR(DS65=N.D.,DX65=N.D.),N.D.,SUM(DS65,DX65))</f>
        <v>0</v>
      </c>
      <c r="ED65" s="743"/>
      <c r="EE65" s="743"/>
      <c r="EF65" s="743"/>
      <c r="EG65" s="27"/>
      <c r="EH65" s="5" t="str">
        <f>IF(AY95=EC65,"ok","non")</f>
        <v>ok</v>
      </c>
    </row>
    <row r="66" spans="6:138" ht="15" customHeight="1" x14ac:dyDescent="0.25">
      <c r="F66" s="124"/>
      <c r="I66" s="16" t="str">
        <f t="shared" si="7"/>
        <v>Ä</v>
      </c>
      <c r="J66" s="982" t="str">
        <f>J45</f>
        <v>Commerce de gros et de détail</v>
      </c>
      <c r="K66" s="982"/>
      <c r="L66" s="982"/>
      <c r="M66" s="982"/>
      <c r="N66" s="982"/>
      <c r="O66" s="982"/>
      <c r="P66" s="982"/>
      <c r="Q66" s="982"/>
      <c r="R66" s="982"/>
      <c r="S66" s="982"/>
      <c r="T66" s="1005" t="str">
        <f>IF(OR(gen_pop_RA="", gen_pop_MRC="",COUNTBLANK($Y$10:$Y$28)&gt;0),N.D.,DW$18)</f>
        <v>N.D.</v>
      </c>
      <c r="U66" s="1005"/>
      <c r="V66" s="1005"/>
      <c r="W66" s="128"/>
      <c r="X66" s="1005" t="str">
        <f>IF(OR(gen_pop_RA="", gen_pop_MRC="",COUNTBLANK($Y$10:$Y$28)&gt;0),N.D.,DX$18)</f>
        <v>N.D.</v>
      </c>
      <c r="Y66" s="1005"/>
      <c r="Z66" s="1005"/>
      <c r="AA66" s="128"/>
      <c r="AB66" s="1005" t="str">
        <f>IF(OR(gen_pop_RA="", gen_pop_MRC="",COUNTBLANK($Y$10:$Y$28)&gt;0),N.D.,DY$18)</f>
        <v>N.D.</v>
      </c>
      <c r="AC66" s="1005"/>
      <c r="AD66" s="1005"/>
      <c r="AE66" s="128"/>
      <c r="AF66" s="1005" t="str">
        <f>IF(OR(gen_pop_RA="", gen_pop_MRC="",COUNTBLANK($Y$10:$Y$28)&gt;0),N.D.,DZ$18)</f>
        <v>N.D.</v>
      </c>
      <c r="AG66" s="1005"/>
      <c r="AH66" s="1005"/>
      <c r="AM66" s="1024"/>
      <c r="AN66" s="1024"/>
      <c r="AO66" s="1024"/>
      <c r="AP66" s="494"/>
      <c r="AQ66" s="1024"/>
      <c r="AR66" s="1024"/>
      <c r="AS66" s="1024"/>
      <c r="AT66" s="494"/>
      <c r="AU66" s="1024"/>
      <c r="AV66" s="1024"/>
      <c r="AW66" s="1024"/>
      <c r="AX66" s="494"/>
      <c r="AY66" s="1024"/>
      <c r="AZ66" s="1024"/>
      <c r="BA66" s="1024"/>
      <c r="DF66" s="124"/>
      <c r="DJ66" s="57"/>
      <c r="EG66" s="27"/>
    </row>
    <row r="67" spans="6:138" ht="15" customHeight="1" x14ac:dyDescent="0.25">
      <c r="F67" s="124"/>
      <c r="I67" s="701" t="str">
        <f t="shared" si="7"/>
        <v>Institutionnel</v>
      </c>
      <c r="J67" s="701"/>
      <c r="K67" s="701"/>
      <c r="L67" s="701"/>
      <c r="M67" s="701"/>
      <c r="N67" s="701"/>
      <c r="O67" s="701"/>
      <c r="P67" s="701"/>
      <c r="Q67" s="701"/>
      <c r="R67" s="701"/>
      <c r="S67" s="701"/>
      <c r="T67" s="1009" t="str">
        <f>IF(COUNTIF(T68:T70,N.D.)&gt;0,N.D.,SUM(T68:T70))</f>
        <v>N.D.</v>
      </c>
      <c r="U67" s="1009"/>
      <c r="V67" s="1009"/>
      <c r="W67" s="171"/>
      <c r="X67" s="1009" t="str">
        <f>IF(COUNTIF(X68:X70,N.D.)&gt;0,N.D.,SUM(X68:X70))</f>
        <v>N.D.</v>
      </c>
      <c r="Y67" s="1009"/>
      <c r="Z67" s="1009"/>
      <c r="AA67" s="171"/>
      <c r="AB67" s="1009" t="str">
        <f>IF(COUNTIF(AB68:AB70,N.D.)&gt;0,N.D.,SUM(AB68:AB70))</f>
        <v>N.D.</v>
      </c>
      <c r="AC67" s="1009"/>
      <c r="AD67" s="1009"/>
      <c r="AE67" s="171"/>
      <c r="AF67" s="1009" t="str">
        <f>IF(COUNTIF(AF68:AF70,N.D.)&gt;0,N.D.,SUM(AF68:AF70))</f>
        <v>N.D.</v>
      </c>
      <c r="AG67" s="1009"/>
      <c r="AH67" s="1009"/>
      <c r="AM67" s="1009" t="str">
        <f>IF(COUNTA(AM68:AM70)=0,"",IF(COUNTBLANK(AM68:AM70)&gt;0,N.D.,SUM(AM68:AM70)))</f>
        <v/>
      </c>
      <c r="AN67" s="1009"/>
      <c r="AO67" s="1009"/>
      <c r="AP67" s="171"/>
      <c r="AQ67" s="1009" t="str">
        <f>IF(COUNTA(AQ68:AQ70)=0,"",IF(COUNTBLANK(AQ68:AQ70)&gt;0,N.D.,SUM(AQ68:AQ70)))</f>
        <v/>
      </c>
      <c r="AR67" s="1009"/>
      <c r="AS67" s="1009"/>
      <c r="AT67" s="171"/>
      <c r="AU67" s="1009" t="str">
        <f>IF(COUNTA(AU68:AU70)=0,"",IF(COUNTBLANK(AU68:AU70)&gt;0,N.D.,SUM(AU68:AU70)))</f>
        <v/>
      </c>
      <c r="AV67" s="1009"/>
      <c r="AW67" s="1009"/>
      <c r="AX67" s="171"/>
      <c r="AY67" s="1009" t="str">
        <f>IF(COUNTA(AY68:AY70)=0,"",IF(COUNTBLANK(AY68:AY70)&gt;0,N.D.,SUM(AY68:AY70)))</f>
        <v/>
      </c>
      <c r="AZ67" s="1009"/>
      <c r="BA67" s="1009"/>
      <c r="DF67" s="124"/>
      <c r="DJ67" s="57"/>
      <c r="DK67" s="1026" t="s">
        <v>276</v>
      </c>
      <c r="DL67" s="1026"/>
      <c r="DM67" s="1026"/>
      <c r="DN67" s="1026"/>
      <c r="DO67" s="1026"/>
      <c r="DP67" s="1026"/>
      <c r="DQ67" s="1026"/>
      <c r="DR67" s="1026"/>
      <c r="DS67" s="1031">
        <f>SUM(DS62:DV65)</f>
        <v>0</v>
      </c>
      <c r="DT67" s="1031"/>
      <c r="DU67" s="1031"/>
      <c r="DV67" s="1031"/>
      <c r="DW67" s="203"/>
      <c r="DX67" s="1031">
        <f>SUM(DX62:EA65)</f>
        <v>0</v>
      </c>
      <c r="DY67" s="1031"/>
      <c r="DZ67" s="1031"/>
      <c r="EA67" s="1031"/>
      <c r="EB67" s="64"/>
      <c r="EC67" s="743">
        <f>IF(OR(DS67=N.D.,DX67=N.D.),N.D.,SUM(DS67,DX67))</f>
        <v>0</v>
      </c>
      <c r="ED67" s="743"/>
      <c r="EE67" s="743"/>
      <c r="EF67" s="743"/>
      <c r="EG67" s="27"/>
      <c r="EH67" s="5" t="str">
        <f>IF(EC67=SUM(EC62:EC65),"ok","non")</f>
        <v>ok</v>
      </c>
    </row>
    <row r="68" spans="6:138" ht="15" customHeight="1" thickBot="1" x14ac:dyDescent="0.3">
      <c r="F68" s="124"/>
      <c r="I68" s="16" t="str">
        <f t="shared" si="7"/>
        <v>Ä</v>
      </c>
      <c r="J68" s="982" t="str">
        <f>J47</f>
        <v>Services et bureaux</v>
      </c>
      <c r="K68" s="982"/>
      <c r="L68" s="982"/>
      <c r="M68" s="982"/>
      <c r="N68" s="982"/>
      <c r="O68" s="982"/>
      <c r="P68" s="982"/>
      <c r="Q68" s="982"/>
      <c r="R68" s="982"/>
      <c r="S68" s="982"/>
      <c r="T68" s="1005" t="str">
        <f>IF(OR(gen_pop_RA="", gen_pop_MRC="",COUNTBLANK($Y$10:$Y$28)&gt;0),N.D.,SUM(DW$20,DW$21,DW$22,DW$25,DW$27,DW$28))</f>
        <v>N.D.</v>
      </c>
      <c r="U68" s="1005"/>
      <c r="V68" s="1005"/>
      <c r="W68" s="128"/>
      <c r="X68" s="1005" t="str">
        <f>IF(OR(gen_pop_RA="", gen_pop_MRC="",COUNTBLANK($Y$10:$Y$28)&gt;0),N.D.,SUM(DX$20,DX$21,DX$22,DX$25,DX$27,DX$28))</f>
        <v>N.D.</v>
      </c>
      <c r="Y68" s="1005"/>
      <c r="Z68" s="1005"/>
      <c r="AA68" s="128"/>
      <c r="AB68" s="1005" t="str">
        <f>IF(OR(gen_pop_RA="", gen_pop_MRC="",COUNTBLANK($Y$10:$Y$28)&gt;0),N.D.,SUM(DY$20,DY$21,DY$22,DY$25,DY$27,DY$28))</f>
        <v>N.D.</v>
      </c>
      <c r="AC68" s="1005"/>
      <c r="AD68" s="1005"/>
      <c r="AE68" s="128"/>
      <c r="AF68" s="1005" t="str">
        <f>IF(OR(gen_pop_RA="", gen_pop_MRC="",COUNTBLANK($Y$10:$Y$28)&gt;0),N.D.,SUM(DZ$20,DZ$21,DZ$22,DZ$25,DZ$27,DZ$28))</f>
        <v>N.D.</v>
      </c>
      <c r="AG68" s="1005"/>
      <c r="AH68" s="1005"/>
      <c r="AM68" s="1024"/>
      <c r="AN68" s="1024"/>
      <c r="AO68" s="1024"/>
      <c r="AP68" s="494"/>
      <c r="AQ68" s="1024"/>
      <c r="AR68" s="1024"/>
      <c r="AS68" s="1024"/>
      <c r="AT68" s="494"/>
      <c r="AU68" s="1024"/>
      <c r="AV68" s="1024"/>
      <c r="AW68" s="1024"/>
      <c r="AX68" s="494"/>
      <c r="AY68" s="1024"/>
      <c r="AZ68" s="1024"/>
      <c r="BA68" s="1024"/>
      <c r="DF68" s="124"/>
      <c r="DJ68" s="58"/>
      <c r="DK68" s="34"/>
      <c r="DL68" s="34"/>
      <c r="DM68" s="34"/>
      <c r="DN68" s="34"/>
      <c r="DO68" s="34"/>
      <c r="DP68" s="34"/>
      <c r="DQ68" s="34"/>
      <c r="DR68" s="34"/>
      <c r="DS68" s="34"/>
      <c r="DT68" s="34"/>
      <c r="DU68" s="34"/>
      <c r="DV68" s="34"/>
      <c r="DW68" s="34"/>
      <c r="DX68" s="34"/>
      <c r="DY68" s="34"/>
      <c r="DZ68" s="34"/>
      <c r="EA68" s="34"/>
      <c r="EB68" s="34"/>
      <c r="EC68" s="34"/>
      <c r="ED68" s="34"/>
      <c r="EE68" s="34"/>
      <c r="EF68" s="34"/>
      <c r="EG68" s="35"/>
    </row>
    <row r="69" spans="6:138" ht="15" customHeight="1" x14ac:dyDescent="0.25">
      <c r="F69" s="124"/>
      <c r="I69" s="16" t="str">
        <f t="shared" si="7"/>
        <v>Ä</v>
      </c>
      <c r="J69" s="982" t="str">
        <f>J48</f>
        <v>Services d'enseignement</v>
      </c>
      <c r="K69" s="982"/>
      <c r="L69" s="982"/>
      <c r="M69" s="982"/>
      <c r="N69" s="982"/>
      <c r="O69" s="982"/>
      <c r="P69" s="982"/>
      <c r="Q69" s="982"/>
      <c r="R69" s="982"/>
      <c r="S69" s="982"/>
      <c r="T69" s="1005" t="str">
        <f>IF(OR(gen_pop_RA="", gen_pop_MRC="",COUNTBLANK($Y$10:$Y$28)&gt;0),N.D.,DW$23)</f>
        <v>N.D.</v>
      </c>
      <c r="U69" s="1005"/>
      <c r="V69" s="1005"/>
      <c r="W69" s="128"/>
      <c r="X69" s="1005" t="str">
        <f>IF(OR(gen_pop_RA="", gen_pop_MRC="",COUNTBLANK($Y$10:$Y$28)&gt;0),N.D.,DX$23)</f>
        <v>N.D.</v>
      </c>
      <c r="Y69" s="1005"/>
      <c r="Z69" s="1005"/>
      <c r="AA69" s="128"/>
      <c r="AB69" s="1005" t="str">
        <f>IF(OR(gen_pop_RA="", gen_pop_MRC="",COUNTBLANK($Y$10:$Y$28)&gt;0),N.D.,DY$23)</f>
        <v>N.D.</v>
      </c>
      <c r="AC69" s="1005"/>
      <c r="AD69" s="1005"/>
      <c r="AE69" s="128"/>
      <c r="AF69" s="1005" t="str">
        <f>IF(OR(gen_pop_RA="", gen_pop_MRC="",COUNTBLANK($Y$10:$Y$28)&gt;0),N.D.,DZ$23)</f>
        <v>N.D.</v>
      </c>
      <c r="AG69" s="1005"/>
      <c r="AH69" s="1005"/>
      <c r="AM69" s="1024"/>
      <c r="AN69" s="1024"/>
      <c r="AO69" s="1024"/>
      <c r="AP69" s="494"/>
      <c r="AQ69" s="1024"/>
      <c r="AR69" s="1024"/>
      <c r="AS69" s="1024"/>
      <c r="AT69" s="494"/>
      <c r="AU69" s="1024"/>
      <c r="AV69" s="1024"/>
      <c r="AW69" s="1024"/>
      <c r="AX69" s="494"/>
      <c r="AY69" s="1024"/>
      <c r="AZ69" s="1024"/>
      <c r="BA69" s="1024"/>
      <c r="DF69" s="124"/>
    </row>
    <row r="70" spans="6:138" ht="15" customHeight="1" x14ac:dyDescent="0.25">
      <c r="F70" s="124"/>
      <c r="I70" s="16" t="str">
        <f t="shared" si="7"/>
        <v>Ä</v>
      </c>
      <c r="J70" s="982" t="str">
        <f>J49</f>
        <v>Soins de santé</v>
      </c>
      <c r="K70" s="982"/>
      <c r="L70" s="982"/>
      <c r="M70" s="982"/>
      <c r="N70" s="982"/>
      <c r="O70" s="982"/>
      <c r="P70" s="982"/>
      <c r="Q70" s="982"/>
      <c r="R70" s="982"/>
      <c r="S70" s="982"/>
      <c r="T70" s="1005" t="str">
        <f>IF(OR(gen_pop_RA="", gen_pop_MRC="",COUNTBLANK($Y$10:$Y$28)&gt;0),N.D.,DW$24)</f>
        <v>N.D.</v>
      </c>
      <c r="U70" s="1005"/>
      <c r="V70" s="1005"/>
      <c r="W70" s="128"/>
      <c r="X70" s="1005" t="str">
        <f>IF(OR(gen_pop_RA="", gen_pop_MRC="",COUNTBLANK($Y$10:$Y$28)&gt;0),N.D.,DX$24)</f>
        <v>N.D.</v>
      </c>
      <c r="Y70" s="1005"/>
      <c r="Z70" s="1005"/>
      <c r="AA70" s="128"/>
      <c r="AB70" s="1005" t="str">
        <f>IF(OR(gen_pop_RA="", gen_pop_MRC="",COUNTBLANK($Y$10:$Y$28)&gt;0),N.D.,DY$24)</f>
        <v>N.D.</v>
      </c>
      <c r="AC70" s="1005"/>
      <c r="AD70" s="1005"/>
      <c r="AE70" s="128"/>
      <c r="AF70" s="1005" t="str">
        <f>IF(OR(gen_pop_RA="", gen_pop_MRC="",COUNTBLANK($Y$10:$Y$28)&gt;0),N.D.,DZ$24)</f>
        <v>N.D.</v>
      </c>
      <c r="AG70" s="1005"/>
      <c r="AH70" s="1005"/>
      <c r="AM70" s="1024"/>
      <c r="AN70" s="1024"/>
      <c r="AO70" s="1024"/>
      <c r="AP70" s="494"/>
      <c r="AQ70" s="1024"/>
      <c r="AR70" s="1024"/>
      <c r="AS70" s="1024"/>
      <c r="AT70" s="494"/>
      <c r="AU70" s="1024"/>
      <c r="AV70" s="1024"/>
      <c r="AW70" s="1024"/>
      <c r="AX70" s="494"/>
      <c r="AY70" s="1024"/>
      <c r="AZ70" s="1024"/>
      <c r="BA70" s="1024"/>
      <c r="DF70" s="124"/>
    </row>
    <row r="71" spans="6:138" ht="11.25" customHeight="1" x14ac:dyDescent="0.25">
      <c r="F71" s="124"/>
      <c r="I71" s="129"/>
      <c r="J71" s="129"/>
      <c r="K71" s="129"/>
      <c r="L71" s="129"/>
      <c r="M71" s="129"/>
      <c r="N71" s="129"/>
      <c r="O71" s="129"/>
      <c r="P71" s="129"/>
      <c r="Q71" s="63"/>
      <c r="R71" s="63"/>
      <c r="S71" s="63"/>
      <c r="T71" s="63"/>
      <c r="U71" s="63"/>
      <c r="V71" s="63"/>
      <c r="W71" s="63"/>
      <c r="X71" s="63"/>
      <c r="Y71" s="63"/>
      <c r="Z71" s="63"/>
      <c r="AA71" s="63"/>
      <c r="AB71" s="63"/>
      <c r="AC71" s="63"/>
      <c r="AD71" s="63"/>
      <c r="AE71" s="63"/>
      <c r="AF71" s="63"/>
      <c r="AG71" s="63"/>
      <c r="AH71" s="63"/>
      <c r="AM71" s="16"/>
      <c r="AN71" s="16"/>
      <c r="AO71" s="16"/>
      <c r="AP71" s="16"/>
      <c r="AQ71" s="16"/>
      <c r="AR71" s="16"/>
      <c r="AS71" s="16"/>
      <c r="AT71" s="16"/>
      <c r="AU71" s="16"/>
      <c r="AV71" s="16"/>
      <c r="AW71" s="16"/>
      <c r="AX71" s="16"/>
      <c r="AY71" s="16"/>
      <c r="AZ71" s="16"/>
      <c r="BA71" s="16"/>
      <c r="DF71" s="124"/>
    </row>
    <row r="72" spans="6:138" ht="15" customHeight="1" x14ac:dyDescent="0.25">
      <c r="F72" s="124"/>
      <c r="AG72" s="691" t="str">
        <f>$AG$51</f>
        <v>Secteur non connu</v>
      </c>
      <c r="AH72" s="691"/>
      <c r="AI72" s="691"/>
      <c r="AJ72" s="691"/>
      <c r="AK72" s="691"/>
      <c r="AL72" s="691"/>
      <c r="AM72" s="1037"/>
      <c r="AN72" s="1037"/>
      <c r="AO72" s="1037"/>
      <c r="AP72" s="128"/>
      <c r="AQ72" s="1037"/>
      <c r="AR72" s="1037"/>
      <c r="AS72" s="1037"/>
      <c r="AT72" s="128"/>
      <c r="AU72" s="1037"/>
      <c r="AV72" s="1037"/>
      <c r="AW72" s="1037"/>
      <c r="AX72" s="128"/>
      <c r="AY72" s="1037"/>
      <c r="AZ72" s="1037"/>
      <c r="BA72" s="1037"/>
      <c r="DF72" s="124"/>
    </row>
    <row r="73" spans="6:138" ht="11.25" customHeight="1" x14ac:dyDescent="0.25">
      <c r="F73" s="124"/>
      <c r="AE73" s="126"/>
      <c r="AF73" s="126"/>
      <c r="AG73" s="126"/>
      <c r="AH73" s="126"/>
      <c r="DF73" s="124"/>
    </row>
    <row r="74" spans="6:138" ht="15" customHeight="1" x14ac:dyDescent="0.25">
      <c r="F74" s="124"/>
      <c r="I74" s="1026" t="str">
        <f>I53</f>
        <v>Total</v>
      </c>
      <c r="J74" s="1026"/>
      <c r="K74" s="1026"/>
      <c r="L74" s="1026"/>
      <c r="M74" s="1026"/>
      <c r="N74" s="1026"/>
      <c r="O74" s="1026"/>
      <c r="P74" s="1026"/>
      <c r="Q74" s="1026"/>
      <c r="R74" s="1026"/>
      <c r="S74" s="1026"/>
      <c r="T74" s="765" t="str">
        <f>IF(COUNTIF(T58:T70,N.D.)&gt;0,N.D.,SUM(T58,T64,T67))</f>
        <v>N.D.</v>
      </c>
      <c r="U74" s="765"/>
      <c r="V74" s="765"/>
      <c r="W74" s="172"/>
      <c r="X74" s="765" t="str">
        <f>IF(COUNTIF(X58:X70,N.D.)&gt;0,N.D.,SUM(X58,X64,X67))</f>
        <v>N.D.</v>
      </c>
      <c r="Y74" s="765"/>
      <c r="Z74" s="765"/>
      <c r="AA74" s="172"/>
      <c r="AB74" s="765" t="str">
        <f>IF(COUNTIF(AB58:AB70,N.D.)&gt;0,N.D.,SUM(AB58,AB64,AB67))</f>
        <v>N.D.</v>
      </c>
      <c r="AC74" s="765"/>
      <c r="AD74" s="765"/>
      <c r="AE74" s="172"/>
      <c r="AF74" s="765" t="str">
        <f>IF(COUNTIF(AF58:AF70,N.D.)&gt;0,N.D.,SUM(AF58,AF64,AF67))</f>
        <v>N.D.</v>
      </c>
      <c r="AG74" s="765"/>
      <c r="AH74" s="765"/>
      <c r="AM74" s="765">
        <f>IF(COUNTA(AM58:AM72)=0,"",IF(AND(ici_utiliser_donnees=menu_utilisateur,OR(COUNTBLANK(AM58:AM70)&gt;0,AM72="")),N.D.,SUM(AM58,AM64,AM67,AM72)))</f>
        <v>0</v>
      </c>
      <c r="AN74" s="765"/>
      <c r="AO74" s="765"/>
      <c r="AP74" s="172"/>
      <c r="AQ74" s="765">
        <f>IF(COUNTA(AQ58:AQ72)=0,"",IF(AND(ici_utiliser_donnees=menu_utilisateur,OR(COUNTBLANK(AQ58:AQ70)&gt;0,AQ72="")),N.D.,SUM(AQ58,AQ64,AQ67,AQ72)))</f>
        <v>0</v>
      </c>
      <c r="AR74" s="765"/>
      <c r="AS74" s="765"/>
      <c r="AT74" s="172"/>
      <c r="AU74" s="765">
        <f>IF(COUNTA(AU58:AU72)=0,"",IF(AND(ici_utiliser_donnees=menu_utilisateur,OR(COUNTBLANK(AU58:AU70)&gt;0,AU72="")),N.D.,SUM(AU58,AU64,AU67,AU72)))</f>
        <v>0</v>
      </c>
      <c r="AV74" s="765"/>
      <c r="AW74" s="765"/>
      <c r="AX74" s="172"/>
      <c r="AY74" s="765">
        <f>IF(COUNTA(AY58:AY72)=0,"",IF(AND(ici_utiliser_donnees=menu_utilisateur,OR(COUNTBLANK(AY58:AY70)&gt;0,AY72="")),N.D.,SUM(AY58,AY64,AY67,AY72)))</f>
        <v>0</v>
      </c>
      <c r="AZ74" s="765"/>
      <c r="BA74" s="765"/>
      <c r="DF74" s="124"/>
    </row>
    <row r="75" spans="6:138" ht="15" customHeight="1" x14ac:dyDescent="0.25">
      <c r="F75" s="124"/>
      <c r="I75" s="770" t="str">
        <f>IF(OR(AM53=N.D.,AQ53=N.D.,AU53=N.D.,AY53=N.D.,AM74=N.D.,AQ74=N.D.,AU74=N.D.,AY74=N.D.),N.D.,"")</f>
        <v/>
      </c>
      <c r="J75" s="770"/>
      <c r="K75" s="1079" t="str">
        <f>IF(I75=N.D.,txt_N.D.&amp;'Données générales'!J8&amp;", "&amp;'Données générales'!AH8&amp;" ou "&amp;I5,"")</f>
        <v/>
      </c>
      <c r="L75" s="1079"/>
      <c r="M75" s="1079"/>
      <c r="N75" s="1079"/>
      <c r="O75" s="1079"/>
      <c r="P75" s="1079"/>
      <c r="Q75" s="1079"/>
      <c r="R75" s="1079"/>
      <c r="S75" s="1079"/>
      <c r="T75" s="1079"/>
      <c r="U75" s="1079"/>
      <c r="V75" s="1079"/>
      <c r="W75" s="1079"/>
      <c r="X75" s="1079"/>
      <c r="Y75" s="1079"/>
      <c r="Z75" s="1079"/>
      <c r="AA75" s="1079"/>
      <c r="AB75" s="1079"/>
      <c r="AC75" s="1079"/>
      <c r="AD75" s="1079"/>
      <c r="AE75" s="126"/>
      <c r="AF75" s="126"/>
      <c r="AG75" s="126"/>
      <c r="AH75" s="126"/>
      <c r="DF75" s="124"/>
    </row>
    <row r="76" spans="6:138" ht="15" customHeight="1" x14ac:dyDescent="0.25">
      <c r="F76" s="124"/>
      <c r="I76" s="19"/>
      <c r="J76" s="19"/>
      <c r="K76" s="19"/>
      <c r="L76" s="19"/>
      <c r="M76" s="19"/>
      <c r="N76" s="19"/>
      <c r="O76" s="19"/>
      <c r="P76" s="19"/>
      <c r="Q76" s="19"/>
      <c r="R76" s="19"/>
      <c r="S76" s="19"/>
      <c r="AE76" s="126"/>
      <c r="AF76" s="126"/>
      <c r="AG76" s="126"/>
      <c r="AH76" s="126"/>
      <c r="DF76" s="124"/>
    </row>
    <row r="77" spans="6:138" ht="15" customHeight="1" x14ac:dyDescent="0.25">
      <c r="F77" s="124"/>
      <c r="I77" s="19"/>
      <c r="J77" s="73"/>
      <c r="L77" s="19"/>
      <c r="M77" s="19"/>
      <c r="N77" s="19"/>
      <c r="O77" s="19"/>
      <c r="P77" s="19"/>
      <c r="T77" s="1077" t="s">
        <v>480</v>
      </c>
      <c r="U77" s="1077"/>
      <c r="V77" s="1077"/>
      <c r="W77" s="1077"/>
      <c r="X77" s="1077"/>
      <c r="Y77" s="1077"/>
      <c r="Z77" s="1077"/>
      <c r="AA77" s="1077"/>
      <c r="AB77" s="1077"/>
      <c r="AC77" s="1077"/>
      <c r="AD77" s="1077"/>
      <c r="AE77" s="1077"/>
      <c r="AF77" s="1077"/>
      <c r="AG77" s="1077"/>
      <c r="AH77" s="1077"/>
      <c r="AM77" s="1077" t="s">
        <v>480</v>
      </c>
      <c r="AN77" s="1077"/>
      <c r="AO77" s="1077"/>
      <c r="AP77" s="1077"/>
      <c r="AQ77" s="1077"/>
      <c r="AR77" s="1077"/>
      <c r="AS77" s="1077"/>
      <c r="AT77" s="1077"/>
      <c r="AU77" s="1077"/>
      <c r="AV77" s="1077"/>
      <c r="AW77" s="1077"/>
      <c r="AX77" s="1077"/>
      <c r="AY77" s="1077"/>
      <c r="AZ77" s="1077"/>
      <c r="BA77" s="1077"/>
      <c r="DF77" s="124"/>
    </row>
    <row r="78" spans="6:138" ht="15" customHeight="1" x14ac:dyDescent="0.25">
      <c r="F78" s="124"/>
      <c r="I78" s="26"/>
      <c r="T78" s="1001" t="str">
        <f>T36</f>
        <v>Fibres (t)</v>
      </c>
      <c r="U78" s="1001"/>
      <c r="V78" s="1001"/>
      <c r="X78" s="1001" t="str">
        <f>X36</f>
        <v>Métal (t)</v>
      </c>
      <c r="Y78" s="1001"/>
      <c r="Z78" s="1001"/>
      <c r="AA78" s="1038" t="str">
        <f>AA36</f>
        <v>Plastique (t)</v>
      </c>
      <c r="AB78" s="1038"/>
      <c r="AC78" s="1038"/>
      <c r="AD78" s="1038"/>
      <c r="AE78" s="1038"/>
      <c r="AF78" s="1001" t="str">
        <f>AF36</f>
        <v>Verre (t)</v>
      </c>
      <c r="AG78" s="1001"/>
      <c r="AH78" s="1001"/>
      <c r="AM78" s="1001" t="str">
        <f>AM36</f>
        <v>Fibres (t)</v>
      </c>
      <c r="AN78" s="1001"/>
      <c r="AO78" s="1001"/>
      <c r="AQ78" s="1001" t="str">
        <f>AQ36</f>
        <v>Métal (t)</v>
      </c>
      <c r="AR78" s="1001"/>
      <c r="AS78" s="1001"/>
      <c r="AT78" s="1038" t="str">
        <f>AT36</f>
        <v>Plastique (t)</v>
      </c>
      <c r="AU78" s="1038"/>
      <c r="AV78" s="1038"/>
      <c r="AW78" s="1038"/>
      <c r="AX78" s="1038"/>
      <c r="AY78" s="1001" t="str">
        <f>AY36</f>
        <v>Verre (t)</v>
      </c>
      <c r="AZ78" s="1001"/>
      <c r="BA78" s="1001"/>
      <c r="DF78" s="124"/>
    </row>
    <row r="79" spans="6:138" ht="15" customHeight="1" x14ac:dyDescent="0.25">
      <c r="F79" s="124"/>
      <c r="I79" s="701" t="str">
        <f t="shared" ref="I79:I91" si="8">I37</f>
        <v>Industriel</v>
      </c>
      <c r="J79" s="701"/>
      <c r="K79" s="701"/>
      <c r="L79" s="701"/>
      <c r="M79" s="701"/>
      <c r="N79" s="701"/>
      <c r="O79" s="701"/>
      <c r="P79" s="701"/>
      <c r="Q79" s="701"/>
      <c r="R79" s="701"/>
      <c r="S79" s="701"/>
      <c r="T79" s="1009" t="str">
        <f t="shared" ref="T79:T91" si="9">IF(OR(T37=N.D.,T58=N.D.),N.D.,SUM(T37,T58))</f>
        <v>N.D.</v>
      </c>
      <c r="U79" s="1009"/>
      <c r="V79" s="1009"/>
      <c r="W79" s="170"/>
      <c r="X79" s="1009" t="str">
        <f t="shared" ref="X79:X91" si="10">IF(OR(X37=N.D.,X58=N.D.),N.D.,SUM(X37,X58))</f>
        <v>N.D.</v>
      </c>
      <c r="Y79" s="1009"/>
      <c r="Z79" s="1009"/>
      <c r="AA79" s="170"/>
      <c r="AB79" s="1009" t="str">
        <f t="shared" ref="AB79:AB91" si="11">IF(OR(AB37=N.D.,AB58=N.D.),N.D.,SUM(AB37,AB58))</f>
        <v>N.D.</v>
      </c>
      <c r="AC79" s="1009"/>
      <c r="AD79" s="1009"/>
      <c r="AE79" s="170"/>
      <c r="AF79" s="1009" t="str">
        <f t="shared" ref="AF79:AF91" si="12">IF(OR(AF37=N.D.,AF58=N.D.),N.D.,SUM(AF37,AF58))</f>
        <v>N.D.</v>
      </c>
      <c r="AG79" s="1009"/>
      <c r="AH79" s="1009"/>
      <c r="AM79" s="1009" t="str">
        <f t="shared" ref="AM79:AM91" si="13">IF(AND(AM37="",AM58=""),"",IF(OR(AM37="",AM58=""),N.D.,SUM(AM37,AM58)))</f>
        <v/>
      </c>
      <c r="AN79" s="1009"/>
      <c r="AO79" s="1009"/>
      <c r="AP79" s="170"/>
      <c r="AQ79" s="1009" t="str">
        <f t="shared" ref="AQ79:AQ91" si="14">IF(AND(AQ37="",AQ58=""),"",IF(OR(AND(AQ37="",AQ$51=""),AND(AQ58="",AQ$72="")),N.D.,SUM(AQ37,AQ58)))</f>
        <v/>
      </c>
      <c r="AR79" s="1009"/>
      <c r="AS79" s="1009"/>
      <c r="AT79" s="170"/>
      <c r="AU79" s="1009" t="str">
        <f t="shared" ref="AU79:AU91" si="15">IF(AND(AU37="",AU58=""),"",IF(OR(AU37="",AU58=""),N.D.,SUM(AU37,AU58)))</f>
        <v/>
      </c>
      <c r="AV79" s="1009"/>
      <c r="AW79" s="1009"/>
      <c r="AX79" s="170"/>
      <c r="AY79" s="1009" t="str">
        <f t="shared" ref="AY79:AY91" si="16">IF(AND(AY37="",AY58=""),"",IF(OR(AY37="",AY58=""),N.D.,SUM(AY37,AY58)))</f>
        <v/>
      </c>
      <c r="AZ79" s="1009"/>
      <c r="BA79" s="1009"/>
      <c r="DF79" s="124"/>
    </row>
    <row r="80" spans="6:138" ht="15" customHeight="1" x14ac:dyDescent="0.25">
      <c r="F80" s="124"/>
      <c r="I80" s="16" t="str">
        <f t="shared" si="8"/>
        <v>Ä</v>
      </c>
      <c r="J80" s="982" t="str">
        <f>J38</f>
        <v>Agriculture</v>
      </c>
      <c r="K80" s="982"/>
      <c r="L80" s="982"/>
      <c r="M80" s="982"/>
      <c r="N80" s="982"/>
      <c r="O80" s="982"/>
      <c r="P80" s="982"/>
      <c r="Q80" s="982"/>
      <c r="R80" s="982"/>
      <c r="S80" s="982"/>
      <c r="T80" s="1005" t="str">
        <f t="shared" si="9"/>
        <v>N.D.</v>
      </c>
      <c r="U80" s="1005"/>
      <c r="V80" s="1005"/>
      <c r="W80" s="128"/>
      <c r="X80" s="1005" t="str">
        <f t="shared" si="10"/>
        <v>N.D.</v>
      </c>
      <c r="Y80" s="1005"/>
      <c r="Z80" s="1005"/>
      <c r="AA80" s="128"/>
      <c r="AB80" s="1005" t="str">
        <f t="shared" si="11"/>
        <v>N.D.</v>
      </c>
      <c r="AC80" s="1005"/>
      <c r="AD80" s="1005"/>
      <c r="AE80" s="128"/>
      <c r="AF80" s="1005" t="str">
        <f t="shared" si="12"/>
        <v>N.D.</v>
      </c>
      <c r="AG80" s="1005"/>
      <c r="AH80" s="1005"/>
      <c r="AM80" s="1012" t="str">
        <f t="shared" si="13"/>
        <v/>
      </c>
      <c r="AN80" s="1012"/>
      <c r="AO80" s="1012"/>
      <c r="AP80" s="128"/>
      <c r="AQ80" s="1012" t="str">
        <f t="shared" si="14"/>
        <v/>
      </c>
      <c r="AR80" s="1012"/>
      <c r="AS80" s="1012"/>
      <c r="AT80" s="128"/>
      <c r="AU80" s="1012" t="str">
        <f t="shared" si="15"/>
        <v/>
      </c>
      <c r="AV80" s="1012"/>
      <c r="AW80" s="1012"/>
      <c r="AX80" s="128"/>
      <c r="AY80" s="1012" t="str">
        <f t="shared" si="16"/>
        <v/>
      </c>
      <c r="AZ80" s="1012"/>
      <c r="BA80" s="1012"/>
      <c r="DF80" s="124"/>
    </row>
    <row r="81" spans="6:198" ht="30" customHeight="1" thickBot="1" x14ac:dyDescent="0.3">
      <c r="F81" s="124"/>
      <c r="I81" s="16" t="str">
        <f t="shared" si="8"/>
        <v>Ä</v>
      </c>
      <c r="J81" s="982" t="str">
        <f>J39</f>
        <v>Foresterie, pêche, mines et extraction de pétrole et de gaz</v>
      </c>
      <c r="K81" s="982"/>
      <c r="L81" s="982"/>
      <c r="M81" s="982"/>
      <c r="N81" s="982"/>
      <c r="O81" s="982"/>
      <c r="P81" s="982"/>
      <c r="Q81" s="982"/>
      <c r="R81" s="982"/>
      <c r="S81" s="982"/>
      <c r="T81" s="1005" t="str">
        <f t="shared" si="9"/>
        <v>N.D.</v>
      </c>
      <c r="U81" s="1005"/>
      <c r="V81" s="1005"/>
      <c r="W81" s="128"/>
      <c r="X81" s="1005" t="str">
        <f t="shared" si="10"/>
        <v>N.D.</v>
      </c>
      <c r="Y81" s="1005"/>
      <c r="Z81" s="1005"/>
      <c r="AA81" s="128"/>
      <c r="AB81" s="1005" t="str">
        <f t="shared" si="11"/>
        <v>N.D.</v>
      </c>
      <c r="AC81" s="1005"/>
      <c r="AD81" s="1005"/>
      <c r="AE81" s="128"/>
      <c r="AF81" s="1005" t="str">
        <f t="shared" si="12"/>
        <v>N.D.</v>
      </c>
      <c r="AG81" s="1005"/>
      <c r="AH81" s="1005"/>
      <c r="AM81" s="1012" t="str">
        <f t="shared" si="13"/>
        <v/>
      </c>
      <c r="AN81" s="1012"/>
      <c r="AO81" s="1012"/>
      <c r="AP81" s="128"/>
      <c r="AQ81" s="1012" t="str">
        <f t="shared" si="14"/>
        <v/>
      </c>
      <c r="AR81" s="1012"/>
      <c r="AS81" s="1012"/>
      <c r="AT81" s="128"/>
      <c r="AU81" s="1012" t="str">
        <f t="shared" si="15"/>
        <v/>
      </c>
      <c r="AV81" s="1012"/>
      <c r="AW81" s="1012"/>
      <c r="AX81" s="128"/>
      <c r="AY81" s="1012" t="str">
        <f t="shared" si="16"/>
        <v/>
      </c>
      <c r="AZ81" s="1012"/>
      <c r="BA81" s="1012"/>
      <c r="DF81" s="124"/>
    </row>
    <row r="82" spans="6:198" ht="15" customHeight="1" x14ac:dyDescent="0.25">
      <c r="F82" s="124"/>
      <c r="I82" s="16" t="str">
        <f t="shared" si="8"/>
        <v>Ä</v>
      </c>
      <c r="J82" s="982" t="str">
        <f>J40</f>
        <v>Manufacturier</v>
      </c>
      <c r="K82" s="982"/>
      <c r="L82" s="982"/>
      <c r="M82" s="982"/>
      <c r="N82" s="982"/>
      <c r="O82" s="982"/>
      <c r="P82" s="982"/>
      <c r="Q82" s="982"/>
      <c r="R82" s="982"/>
      <c r="S82" s="982"/>
      <c r="T82" s="1005" t="str">
        <f t="shared" si="9"/>
        <v>N.D.</v>
      </c>
      <c r="U82" s="1005"/>
      <c r="V82" s="1005"/>
      <c r="W82" s="128"/>
      <c r="X82" s="1005" t="str">
        <f t="shared" si="10"/>
        <v>N.D.</v>
      </c>
      <c r="Y82" s="1005"/>
      <c r="Z82" s="1005"/>
      <c r="AA82" s="128"/>
      <c r="AB82" s="1005" t="str">
        <f t="shared" si="11"/>
        <v>N.D.</v>
      </c>
      <c r="AC82" s="1005"/>
      <c r="AD82" s="1005"/>
      <c r="AE82" s="128"/>
      <c r="AF82" s="1005" t="str">
        <f t="shared" si="12"/>
        <v>N.D.</v>
      </c>
      <c r="AG82" s="1005"/>
      <c r="AH82" s="1005"/>
      <c r="AM82" s="1012" t="str">
        <f t="shared" si="13"/>
        <v/>
      </c>
      <c r="AN82" s="1012"/>
      <c r="AO82" s="1012"/>
      <c r="AP82" s="128"/>
      <c r="AQ82" s="1012" t="str">
        <f t="shared" si="14"/>
        <v/>
      </c>
      <c r="AR82" s="1012"/>
      <c r="AS82" s="1012"/>
      <c r="AT82" s="128"/>
      <c r="AU82" s="1012" t="str">
        <f t="shared" si="15"/>
        <v/>
      </c>
      <c r="AV82" s="1012"/>
      <c r="AW82" s="1012"/>
      <c r="AX82" s="128"/>
      <c r="AY82" s="1012" t="str">
        <f t="shared" si="16"/>
        <v/>
      </c>
      <c r="AZ82" s="1012"/>
      <c r="BA82" s="1012"/>
      <c r="DF82" s="124"/>
      <c r="DJ82" s="106"/>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8"/>
    </row>
    <row r="83" spans="6:198" ht="15" customHeight="1" x14ac:dyDescent="0.25">
      <c r="F83" s="124"/>
      <c r="I83" s="16" t="str">
        <f t="shared" si="8"/>
        <v>Ä</v>
      </c>
      <c r="J83" s="982" t="str">
        <f>J41</f>
        <v>Utilités publiques</v>
      </c>
      <c r="K83" s="982"/>
      <c r="L83" s="982"/>
      <c r="M83" s="982"/>
      <c r="N83" s="982"/>
      <c r="O83" s="982"/>
      <c r="P83" s="982"/>
      <c r="Q83" s="982"/>
      <c r="R83" s="982"/>
      <c r="S83" s="982"/>
      <c r="T83" s="1005" t="str">
        <f t="shared" si="9"/>
        <v>N.D.</v>
      </c>
      <c r="U83" s="1005"/>
      <c r="V83" s="1005"/>
      <c r="W83" s="128"/>
      <c r="X83" s="1005" t="str">
        <f t="shared" si="10"/>
        <v>N.D.</v>
      </c>
      <c r="Y83" s="1005"/>
      <c r="Z83" s="1005"/>
      <c r="AA83" s="128"/>
      <c r="AB83" s="1005" t="str">
        <f t="shared" si="11"/>
        <v>N.D.</v>
      </c>
      <c r="AC83" s="1005"/>
      <c r="AD83" s="1005"/>
      <c r="AE83" s="128"/>
      <c r="AF83" s="1005" t="str">
        <f t="shared" si="12"/>
        <v>N.D.</v>
      </c>
      <c r="AG83" s="1005"/>
      <c r="AH83" s="1005"/>
      <c r="AM83" s="1012" t="str">
        <f t="shared" si="13"/>
        <v/>
      </c>
      <c r="AN83" s="1012"/>
      <c r="AO83" s="1012"/>
      <c r="AP83" s="128"/>
      <c r="AQ83" s="1012" t="str">
        <f t="shared" si="14"/>
        <v/>
      </c>
      <c r="AR83" s="1012"/>
      <c r="AS83" s="1012"/>
      <c r="AT83" s="128"/>
      <c r="AU83" s="1012" t="str">
        <f t="shared" si="15"/>
        <v/>
      </c>
      <c r="AV83" s="1012"/>
      <c r="AW83" s="1012"/>
      <c r="AX83" s="128"/>
      <c r="AY83" s="1012" t="str">
        <f t="shared" si="16"/>
        <v/>
      </c>
      <c r="AZ83" s="1012"/>
      <c r="BA83" s="1012"/>
      <c r="DF83" s="124"/>
      <c r="DJ83" s="57"/>
      <c r="DK83" s="1000" t="s">
        <v>25</v>
      </c>
      <c r="DL83" s="1000"/>
      <c r="DM83" s="1000"/>
      <c r="DN83" s="1000"/>
      <c r="DO83" s="1000"/>
      <c r="DP83" s="1000"/>
      <c r="DQ83" s="1000"/>
      <c r="DR83" s="1000"/>
      <c r="DS83" s="1000"/>
      <c r="DT83" s="1000"/>
      <c r="DU83" s="1000"/>
      <c r="DV83" s="1000"/>
      <c r="DW83" s="1000"/>
      <c r="DX83" s="1000"/>
      <c r="DY83" s="1000"/>
      <c r="DZ83" s="1000"/>
      <c r="EA83" s="1000"/>
      <c r="EB83" s="1000"/>
      <c r="EC83" s="1000"/>
      <c r="ED83" s="1000"/>
      <c r="EE83" s="1000"/>
      <c r="EF83" s="1000"/>
      <c r="EG83" s="27"/>
    </row>
    <row r="84" spans="6:198" ht="15" customHeight="1" x14ac:dyDescent="0.25">
      <c r="F84" s="124"/>
      <c r="I84" s="16" t="str">
        <f t="shared" si="8"/>
        <v>Ä</v>
      </c>
      <c r="J84" s="982" t="str">
        <f>J42</f>
        <v>Transport et entreposage</v>
      </c>
      <c r="K84" s="982"/>
      <c r="L84" s="982"/>
      <c r="M84" s="982"/>
      <c r="N84" s="982"/>
      <c r="O84" s="982"/>
      <c r="P84" s="982"/>
      <c r="Q84" s="982"/>
      <c r="R84" s="982"/>
      <c r="S84" s="982"/>
      <c r="T84" s="1005" t="str">
        <f t="shared" si="9"/>
        <v>N.D.</v>
      </c>
      <c r="U84" s="1005"/>
      <c r="V84" s="1005"/>
      <c r="W84" s="128"/>
      <c r="X84" s="1005" t="str">
        <f t="shared" si="10"/>
        <v>N.D.</v>
      </c>
      <c r="Y84" s="1005"/>
      <c r="Z84" s="1005"/>
      <c r="AA84" s="128"/>
      <c r="AB84" s="1005" t="str">
        <f t="shared" si="11"/>
        <v>N.D.</v>
      </c>
      <c r="AC84" s="1005"/>
      <c r="AD84" s="1005"/>
      <c r="AE84" s="128"/>
      <c r="AF84" s="1005" t="str">
        <f t="shared" si="12"/>
        <v>N.D.</v>
      </c>
      <c r="AG84" s="1005"/>
      <c r="AH84" s="1005"/>
      <c r="AM84" s="1012" t="str">
        <f t="shared" si="13"/>
        <v/>
      </c>
      <c r="AN84" s="1012"/>
      <c r="AO84" s="1012"/>
      <c r="AP84" s="128"/>
      <c r="AQ84" s="1012" t="str">
        <f t="shared" si="14"/>
        <v/>
      </c>
      <c r="AR84" s="1012"/>
      <c r="AS84" s="1012"/>
      <c r="AT84" s="128"/>
      <c r="AU84" s="1012" t="str">
        <f t="shared" si="15"/>
        <v/>
      </c>
      <c r="AV84" s="1012"/>
      <c r="AW84" s="1012"/>
      <c r="AX84" s="128"/>
      <c r="AY84" s="1012" t="str">
        <f t="shared" si="16"/>
        <v/>
      </c>
      <c r="AZ84" s="1012"/>
      <c r="BA84" s="1012"/>
      <c r="DF84" s="124"/>
      <c r="DJ84" s="57"/>
      <c r="EG84" s="27"/>
    </row>
    <row r="85" spans="6:198" ht="15" customHeight="1" x14ac:dyDescent="0.25">
      <c r="F85" s="124"/>
      <c r="I85" s="701" t="str">
        <f t="shared" si="8"/>
        <v>Commercial</v>
      </c>
      <c r="J85" s="701"/>
      <c r="K85" s="701"/>
      <c r="L85" s="701"/>
      <c r="M85" s="701"/>
      <c r="N85" s="701"/>
      <c r="O85" s="701"/>
      <c r="P85" s="701"/>
      <c r="Q85" s="701"/>
      <c r="R85" s="701"/>
      <c r="S85" s="701"/>
      <c r="T85" s="1009" t="str">
        <f t="shared" si="9"/>
        <v>N.D.</v>
      </c>
      <c r="U85" s="1009"/>
      <c r="V85" s="1009"/>
      <c r="W85" s="171"/>
      <c r="X85" s="1009" t="str">
        <f t="shared" si="10"/>
        <v>N.D.</v>
      </c>
      <c r="Y85" s="1009"/>
      <c r="Z85" s="1009"/>
      <c r="AA85" s="171"/>
      <c r="AB85" s="1009" t="str">
        <f t="shared" si="11"/>
        <v>N.D.</v>
      </c>
      <c r="AC85" s="1009"/>
      <c r="AD85" s="1009"/>
      <c r="AE85" s="171"/>
      <c r="AF85" s="1009" t="str">
        <f t="shared" si="12"/>
        <v>N.D.</v>
      </c>
      <c r="AG85" s="1009"/>
      <c r="AH85" s="1009"/>
      <c r="AM85" s="1009" t="str">
        <f t="shared" si="13"/>
        <v/>
      </c>
      <c r="AN85" s="1009"/>
      <c r="AO85" s="1009"/>
      <c r="AP85" s="171"/>
      <c r="AQ85" s="1009" t="str">
        <f t="shared" si="14"/>
        <v/>
      </c>
      <c r="AR85" s="1009"/>
      <c r="AS85" s="1009"/>
      <c r="AT85" s="171"/>
      <c r="AU85" s="1009" t="str">
        <f t="shared" si="15"/>
        <v/>
      </c>
      <c r="AV85" s="1009"/>
      <c r="AW85" s="1009"/>
      <c r="AX85" s="171"/>
      <c r="AY85" s="1009" t="str">
        <f t="shared" si="16"/>
        <v/>
      </c>
      <c r="AZ85" s="1009"/>
      <c r="BA85" s="1009"/>
      <c r="DF85" s="124"/>
      <c r="DJ85" s="57"/>
      <c r="DK85" s="26"/>
      <c r="DS85" s="1001" t="s">
        <v>285</v>
      </c>
      <c r="DT85" s="1001"/>
      <c r="DU85" s="1001"/>
      <c r="DV85" s="1001"/>
      <c r="DX85" s="1001" t="s">
        <v>286</v>
      </c>
      <c r="DY85" s="1001"/>
      <c r="DZ85" s="1001"/>
      <c r="EA85" s="1001"/>
      <c r="EC85" s="1001" t="s">
        <v>287</v>
      </c>
      <c r="ED85" s="1001"/>
      <c r="EE85" s="1001"/>
      <c r="EF85" s="1001"/>
      <c r="EG85" s="27"/>
    </row>
    <row r="86" spans="6:198" ht="30" customHeight="1" x14ac:dyDescent="0.25">
      <c r="F86" s="124"/>
      <c r="I86" s="16" t="str">
        <f t="shared" si="8"/>
        <v>Ä</v>
      </c>
      <c r="J86" s="982" t="str">
        <f>J44</f>
        <v>Hébergement et services de restauration</v>
      </c>
      <c r="K86" s="982"/>
      <c r="L86" s="982"/>
      <c r="M86" s="982"/>
      <c r="N86" s="982"/>
      <c r="O86" s="982"/>
      <c r="P86" s="982"/>
      <c r="Q86" s="982"/>
      <c r="R86" s="982"/>
      <c r="S86" s="982"/>
      <c r="T86" s="1005" t="str">
        <f t="shared" si="9"/>
        <v>N.D.</v>
      </c>
      <c r="U86" s="1005"/>
      <c r="V86" s="1005"/>
      <c r="W86" s="128"/>
      <c r="X86" s="1005" t="str">
        <f t="shared" si="10"/>
        <v>N.D.</v>
      </c>
      <c r="Y86" s="1005"/>
      <c r="Z86" s="1005"/>
      <c r="AA86" s="128"/>
      <c r="AB86" s="1005" t="str">
        <f t="shared" si="11"/>
        <v>N.D.</v>
      </c>
      <c r="AC86" s="1005"/>
      <c r="AD86" s="1005"/>
      <c r="AE86" s="128"/>
      <c r="AF86" s="1005" t="str">
        <f t="shared" si="12"/>
        <v>N.D.</v>
      </c>
      <c r="AG86" s="1005"/>
      <c r="AH86" s="1005"/>
      <c r="AM86" s="1012" t="str">
        <f t="shared" si="13"/>
        <v/>
      </c>
      <c r="AN86" s="1012"/>
      <c r="AO86" s="1012"/>
      <c r="AP86" s="128"/>
      <c r="AQ86" s="1012" t="str">
        <f t="shared" si="14"/>
        <v/>
      </c>
      <c r="AR86" s="1012"/>
      <c r="AS86" s="1012"/>
      <c r="AT86" s="128"/>
      <c r="AU86" s="1012" t="str">
        <f t="shared" si="15"/>
        <v/>
      </c>
      <c r="AV86" s="1012"/>
      <c r="AW86" s="1012"/>
      <c r="AX86" s="128"/>
      <c r="AY86" s="1012" t="str">
        <f t="shared" si="16"/>
        <v/>
      </c>
      <c r="AZ86" s="1012"/>
      <c r="BA86" s="1012"/>
      <c r="DF86" s="124"/>
      <c r="DJ86" s="57"/>
      <c r="DK86" s="701" t="s">
        <v>385</v>
      </c>
      <c r="DL86" s="701"/>
      <c r="DM86" s="701"/>
      <c r="DN86" s="701"/>
      <c r="DO86" s="701"/>
      <c r="DP86" s="701"/>
      <c r="DQ86" s="701"/>
      <c r="DR86" s="701"/>
      <c r="DS86" s="1007" t="str">
        <f>IF(ici_utiliser_donnees=menu_utilisateur,DS62,DS48)</f>
        <v>N.D.</v>
      </c>
      <c r="DT86" s="1007"/>
      <c r="DU86" s="1007"/>
      <c r="DV86" s="1007"/>
      <c r="DW86" s="62"/>
      <c r="DX86" s="1007" t="str">
        <f>IF(ici_utiliser_donnees=menu_utilisateur,DX62,DX48)</f>
        <v>N.D.</v>
      </c>
      <c r="DY86" s="1007"/>
      <c r="DZ86" s="1007"/>
      <c r="EA86" s="1007"/>
      <c r="EB86" s="62"/>
      <c r="EC86" s="743" t="str">
        <f>IF(OR(DS86=N.D.,DX86=N.D.),N.D.,SUM(DS86,DX86))</f>
        <v>N.D.</v>
      </c>
      <c r="ED86" s="743"/>
      <c r="EE86" s="743"/>
      <c r="EF86" s="743"/>
      <c r="EG86" s="27"/>
    </row>
    <row r="87" spans="6:198" ht="15" customHeight="1" x14ac:dyDescent="0.25">
      <c r="F87" s="124"/>
      <c r="I87" s="16" t="str">
        <f t="shared" si="8"/>
        <v>Ä</v>
      </c>
      <c r="J87" s="982" t="str">
        <f>J45</f>
        <v>Commerce de gros et de détail</v>
      </c>
      <c r="K87" s="982"/>
      <c r="L87" s="982"/>
      <c r="M87" s="982"/>
      <c r="N87" s="982"/>
      <c r="O87" s="982"/>
      <c r="P87" s="982"/>
      <c r="Q87" s="982"/>
      <c r="R87" s="982"/>
      <c r="S87" s="982"/>
      <c r="T87" s="1005" t="str">
        <f t="shared" si="9"/>
        <v>N.D.</v>
      </c>
      <c r="U87" s="1005"/>
      <c r="V87" s="1005"/>
      <c r="W87" s="128"/>
      <c r="X87" s="1005" t="str">
        <f t="shared" si="10"/>
        <v>N.D.</v>
      </c>
      <c r="Y87" s="1005"/>
      <c r="Z87" s="1005"/>
      <c r="AA87" s="128"/>
      <c r="AB87" s="1005" t="str">
        <f t="shared" si="11"/>
        <v>N.D.</v>
      </c>
      <c r="AC87" s="1005"/>
      <c r="AD87" s="1005"/>
      <c r="AE87" s="128"/>
      <c r="AF87" s="1005" t="str">
        <f t="shared" si="12"/>
        <v>N.D.</v>
      </c>
      <c r="AG87" s="1005"/>
      <c r="AH87" s="1005"/>
      <c r="AM87" s="1012" t="str">
        <f t="shared" si="13"/>
        <v/>
      </c>
      <c r="AN87" s="1012"/>
      <c r="AO87" s="1012"/>
      <c r="AP87" s="128"/>
      <c r="AQ87" s="1012" t="str">
        <f t="shared" si="14"/>
        <v/>
      </c>
      <c r="AR87" s="1012"/>
      <c r="AS87" s="1012"/>
      <c r="AT87" s="128"/>
      <c r="AU87" s="1012" t="str">
        <f t="shared" si="15"/>
        <v/>
      </c>
      <c r="AV87" s="1012"/>
      <c r="AW87" s="1012"/>
      <c r="AX87" s="128"/>
      <c r="AY87" s="1012" t="str">
        <f t="shared" si="16"/>
        <v/>
      </c>
      <c r="AZ87" s="1012"/>
      <c r="BA87" s="1012"/>
      <c r="DF87" s="124"/>
      <c r="DJ87" s="57"/>
      <c r="DK87" s="691" t="s">
        <v>387</v>
      </c>
      <c r="DL87" s="691"/>
      <c r="DM87" s="691"/>
      <c r="DN87" s="691"/>
      <c r="DO87" s="691"/>
      <c r="DP87" s="691"/>
      <c r="DQ87" s="691"/>
      <c r="DR87" s="691"/>
      <c r="DS87" s="1007" t="str">
        <f>IF(ici_utiliser_donnees=menu_utilisateur,DS63,DS49)</f>
        <v>N.D.</v>
      </c>
      <c r="DT87" s="1007"/>
      <c r="DU87" s="1007"/>
      <c r="DV87" s="1007"/>
      <c r="DW87" s="62"/>
      <c r="DX87" s="1056" t="str">
        <f>IF(ici_utiliser_donnees=menu_utilisateur,DX63,DX49)</f>
        <v>N.D.</v>
      </c>
      <c r="DY87" s="1056"/>
      <c r="DZ87" s="1056"/>
      <c r="EA87" s="1056"/>
      <c r="EB87" s="62"/>
      <c r="EC87" s="743" t="str">
        <f>IF(OR(DS87=N.D.,DX87=N.D.),N.D.,SUM(DS87,DX87))</f>
        <v>N.D.</v>
      </c>
      <c r="ED87" s="743"/>
      <c r="EE87" s="743"/>
      <c r="EF87" s="743"/>
      <c r="EG87" s="27"/>
    </row>
    <row r="88" spans="6:198" ht="15" customHeight="1" x14ac:dyDescent="0.25">
      <c r="F88" s="124"/>
      <c r="I88" s="701" t="str">
        <f t="shared" si="8"/>
        <v>Institutionnel</v>
      </c>
      <c r="J88" s="701"/>
      <c r="K88" s="701"/>
      <c r="L88" s="701"/>
      <c r="M88" s="701"/>
      <c r="N88" s="701"/>
      <c r="O88" s="701"/>
      <c r="P88" s="701"/>
      <c r="Q88" s="701"/>
      <c r="R88" s="701"/>
      <c r="S88" s="701"/>
      <c r="T88" s="1009" t="str">
        <f t="shared" si="9"/>
        <v>N.D.</v>
      </c>
      <c r="U88" s="1009"/>
      <c r="V88" s="1009"/>
      <c r="W88" s="171"/>
      <c r="X88" s="1009" t="str">
        <f t="shared" si="10"/>
        <v>N.D.</v>
      </c>
      <c r="Y88" s="1009"/>
      <c r="Z88" s="1009"/>
      <c r="AA88" s="171"/>
      <c r="AB88" s="1009" t="str">
        <f t="shared" si="11"/>
        <v>N.D.</v>
      </c>
      <c r="AC88" s="1009"/>
      <c r="AD88" s="1009"/>
      <c r="AE88" s="171"/>
      <c r="AF88" s="1009" t="str">
        <f t="shared" si="12"/>
        <v>N.D.</v>
      </c>
      <c r="AG88" s="1009"/>
      <c r="AH88" s="1009"/>
      <c r="AM88" s="1009" t="str">
        <f t="shared" si="13"/>
        <v/>
      </c>
      <c r="AN88" s="1009"/>
      <c r="AO88" s="1009"/>
      <c r="AP88" s="171"/>
      <c r="AQ88" s="1009" t="str">
        <f t="shared" si="14"/>
        <v/>
      </c>
      <c r="AR88" s="1009"/>
      <c r="AS88" s="1009"/>
      <c r="AT88" s="171"/>
      <c r="AU88" s="1009" t="str">
        <f t="shared" si="15"/>
        <v/>
      </c>
      <c r="AV88" s="1009"/>
      <c r="AW88" s="1009"/>
      <c r="AX88" s="171"/>
      <c r="AY88" s="1009" t="str">
        <f t="shared" si="16"/>
        <v/>
      </c>
      <c r="AZ88" s="1009"/>
      <c r="BA88" s="1009"/>
      <c r="DF88" s="124"/>
      <c r="DJ88" s="57"/>
      <c r="DK88" s="691" t="s">
        <v>388</v>
      </c>
      <c r="DL88" s="691"/>
      <c r="DM88" s="691"/>
      <c r="DN88" s="691"/>
      <c r="DO88" s="691"/>
      <c r="DP88" s="691"/>
      <c r="DQ88" s="691"/>
      <c r="DR88" s="691"/>
      <c r="DS88" s="1007" t="str">
        <f>IF(ici_utiliser_donnees=menu_utilisateur,DS64,DS50)</f>
        <v>N.D.</v>
      </c>
      <c r="DT88" s="1007"/>
      <c r="DU88" s="1007"/>
      <c r="DV88" s="1007"/>
      <c r="DW88" s="62"/>
      <c r="DX88" s="1056" t="str">
        <f>IF(ici_utiliser_donnees=menu_utilisateur,DX64,DX50)</f>
        <v>N.D.</v>
      </c>
      <c r="DY88" s="1056"/>
      <c r="DZ88" s="1056"/>
      <c r="EA88" s="1056"/>
      <c r="EB88" s="62"/>
      <c r="EC88" s="743" t="str">
        <f>IF(OR(DS88=N.D.,DX88=N.D.),N.D.,SUM(DS88,DX88))</f>
        <v>N.D.</v>
      </c>
      <c r="ED88" s="743"/>
      <c r="EE88" s="743"/>
      <c r="EF88" s="743"/>
      <c r="EG88" s="27"/>
      <c r="FU88" s="99"/>
      <c r="FV88" s="87"/>
      <c r="FW88" s="54"/>
      <c r="FX88" s="54"/>
      <c r="FY88" s="54"/>
      <c r="FZ88" s="54"/>
      <c r="GA88" s="54"/>
      <c r="GB88" s="54"/>
      <c r="GC88" s="54"/>
      <c r="GD88" s="54"/>
      <c r="GE88" s="54"/>
      <c r="GF88" s="54"/>
      <c r="GG88" s="54"/>
      <c r="GH88" s="54"/>
      <c r="GI88" s="54"/>
      <c r="GJ88" s="54"/>
      <c r="GK88" s="54"/>
      <c r="GL88" s="54"/>
      <c r="GM88" s="54"/>
      <c r="GN88" s="54"/>
      <c r="GO88" s="54"/>
      <c r="GP88" s="54"/>
    </row>
    <row r="89" spans="6:198" ht="15" customHeight="1" x14ac:dyDescent="0.25">
      <c r="F89" s="124"/>
      <c r="I89" s="16" t="str">
        <f t="shared" si="8"/>
        <v>Ä</v>
      </c>
      <c r="J89" s="982" t="str">
        <f>J47</f>
        <v>Services et bureaux</v>
      </c>
      <c r="K89" s="982"/>
      <c r="L89" s="982"/>
      <c r="M89" s="982"/>
      <c r="N89" s="982"/>
      <c r="O89" s="982"/>
      <c r="P89" s="982"/>
      <c r="Q89" s="982"/>
      <c r="R89" s="982"/>
      <c r="S89" s="982"/>
      <c r="T89" s="1005" t="str">
        <f t="shared" si="9"/>
        <v>N.D.</v>
      </c>
      <c r="U89" s="1005"/>
      <c r="V89" s="1005"/>
      <c r="W89" s="128"/>
      <c r="X89" s="1005" t="str">
        <f t="shared" si="10"/>
        <v>N.D.</v>
      </c>
      <c r="Y89" s="1005"/>
      <c r="Z89" s="1005"/>
      <c r="AA89" s="128"/>
      <c r="AB89" s="1005" t="str">
        <f t="shared" si="11"/>
        <v>N.D.</v>
      </c>
      <c r="AC89" s="1005"/>
      <c r="AD89" s="1005"/>
      <c r="AE89" s="128"/>
      <c r="AF89" s="1005" t="str">
        <f t="shared" si="12"/>
        <v>N.D.</v>
      </c>
      <c r="AG89" s="1005"/>
      <c r="AH89" s="1005"/>
      <c r="AM89" s="1012" t="str">
        <f t="shared" si="13"/>
        <v/>
      </c>
      <c r="AN89" s="1012"/>
      <c r="AO89" s="1012"/>
      <c r="AP89" s="128"/>
      <c r="AQ89" s="1012" t="str">
        <f t="shared" si="14"/>
        <v/>
      </c>
      <c r="AR89" s="1012"/>
      <c r="AS89" s="1012"/>
      <c r="AT89" s="128"/>
      <c r="AU89" s="1012" t="str">
        <f t="shared" si="15"/>
        <v/>
      </c>
      <c r="AV89" s="1012"/>
      <c r="AW89" s="1012"/>
      <c r="AX89" s="128"/>
      <c r="AY89" s="1012" t="str">
        <f t="shared" si="16"/>
        <v/>
      </c>
      <c r="AZ89" s="1012"/>
      <c r="BA89" s="1012"/>
      <c r="DF89" s="124"/>
      <c r="DJ89" s="57"/>
      <c r="DK89" s="691" t="s">
        <v>386</v>
      </c>
      <c r="DL89" s="691"/>
      <c r="DM89" s="691"/>
      <c r="DN89" s="691"/>
      <c r="DO89" s="691"/>
      <c r="DP89" s="691"/>
      <c r="DQ89" s="691"/>
      <c r="DR89" s="691"/>
      <c r="DS89" s="1007" t="str">
        <f>IF(ici_utiliser_donnees=menu_utilisateur,DS65,DS51)</f>
        <v>N.D.</v>
      </c>
      <c r="DT89" s="1007"/>
      <c r="DU89" s="1007"/>
      <c r="DV89" s="1007"/>
      <c r="DW89" s="62"/>
      <c r="DX89" s="1056" t="str">
        <f>IF(ici_utiliser_donnees=menu_utilisateur,DX65,DX51)</f>
        <v>N.D.</v>
      </c>
      <c r="DY89" s="1056"/>
      <c r="DZ89" s="1056"/>
      <c r="EA89" s="1056"/>
      <c r="EB89" s="62"/>
      <c r="EC89" s="743" t="str">
        <f>IF(OR(DS89=N.D.,DX89=N.D.),N.D.,SUM(DS89,DX89))</f>
        <v>N.D.</v>
      </c>
      <c r="ED89" s="743"/>
      <c r="EE89" s="743"/>
      <c r="EF89" s="743"/>
      <c r="EG89" s="27"/>
      <c r="FU89" s="99"/>
      <c r="FV89" s="87"/>
      <c r="FW89" s="54"/>
      <c r="FX89" s="54"/>
      <c r="FY89" s="54"/>
      <c r="FZ89" s="54"/>
      <c r="GA89" s="54"/>
      <c r="GB89" s="54"/>
      <c r="GC89" s="54"/>
      <c r="GD89" s="54"/>
      <c r="GE89" s="54"/>
      <c r="GF89" s="54"/>
      <c r="GG89" s="54"/>
      <c r="GH89" s="54"/>
      <c r="GI89" s="54"/>
      <c r="GJ89" s="54"/>
      <c r="GK89" s="54"/>
      <c r="GL89" s="54"/>
      <c r="GM89" s="54"/>
      <c r="GN89" s="54"/>
      <c r="GO89" s="54"/>
      <c r="GP89" s="54"/>
    </row>
    <row r="90" spans="6:198" ht="15" customHeight="1" x14ac:dyDescent="0.25">
      <c r="F90" s="124"/>
      <c r="I90" s="16" t="str">
        <f t="shared" si="8"/>
        <v>Ä</v>
      </c>
      <c r="J90" s="982" t="str">
        <f>J48</f>
        <v>Services d'enseignement</v>
      </c>
      <c r="K90" s="982"/>
      <c r="L90" s="982"/>
      <c r="M90" s="982"/>
      <c r="N90" s="982"/>
      <c r="O90" s="982"/>
      <c r="P90" s="982"/>
      <c r="Q90" s="982"/>
      <c r="R90" s="982"/>
      <c r="S90" s="982"/>
      <c r="T90" s="1005" t="str">
        <f t="shared" si="9"/>
        <v>N.D.</v>
      </c>
      <c r="U90" s="1005"/>
      <c r="V90" s="1005"/>
      <c r="W90" s="128"/>
      <c r="X90" s="1005" t="str">
        <f t="shared" si="10"/>
        <v>N.D.</v>
      </c>
      <c r="Y90" s="1005"/>
      <c r="Z90" s="1005"/>
      <c r="AA90" s="128"/>
      <c r="AB90" s="1005" t="str">
        <f t="shared" si="11"/>
        <v>N.D.</v>
      </c>
      <c r="AC90" s="1005"/>
      <c r="AD90" s="1005"/>
      <c r="AE90" s="128"/>
      <c r="AF90" s="1005" t="str">
        <f t="shared" si="12"/>
        <v>N.D.</v>
      </c>
      <c r="AG90" s="1005"/>
      <c r="AH90" s="1005"/>
      <c r="AM90" s="1012" t="str">
        <f t="shared" si="13"/>
        <v/>
      </c>
      <c r="AN90" s="1012"/>
      <c r="AO90" s="1012"/>
      <c r="AP90" s="128"/>
      <c r="AQ90" s="1012" t="str">
        <f t="shared" si="14"/>
        <v/>
      </c>
      <c r="AR90" s="1012"/>
      <c r="AS90" s="1012"/>
      <c r="AT90" s="128"/>
      <c r="AU90" s="1012" t="str">
        <f t="shared" si="15"/>
        <v/>
      </c>
      <c r="AV90" s="1012"/>
      <c r="AW90" s="1012"/>
      <c r="AX90" s="128"/>
      <c r="AY90" s="1012" t="str">
        <f t="shared" si="16"/>
        <v/>
      </c>
      <c r="AZ90" s="1012"/>
      <c r="BA90" s="1012"/>
      <c r="DF90" s="124"/>
      <c r="DJ90" s="57"/>
      <c r="EG90" s="27"/>
      <c r="FU90" s="99"/>
      <c r="FV90" s="87"/>
      <c r="FW90" s="54"/>
      <c r="FX90" s="54"/>
      <c r="FY90" s="54"/>
      <c r="FZ90" s="54"/>
      <c r="GA90" s="54"/>
      <c r="GB90" s="54"/>
      <c r="GC90" s="54"/>
      <c r="GD90" s="54"/>
      <c r="GE90" s="54"/>
      <c r="GF90" s="54"/>
      <c r="GG90" s="54"/>
      <c r="GH90" s="54"/>
      <c r="GI90" s="54"/>
      <c r="GJ90" s="54"/>
      <c r="GK90" s="54"/>
      <c r="GL90" s="54"/>
      <c r="GM90" s="54"/>
      <c r="GN90" s="54"/>
      <c r="GO90" s="54"/>
      <c r="GP90" s="54"/>
    </row>
    <row r="91" spans="6:198" ht="15" customHeight="1" x14ac:dyDescent="0.25">
      <c r="F91" s="124"/>
      <c r="I91" s="16" t="str">
        <f t="shared" si="8"/>
        <v>Ä</v>
      </c>
      <c r="J91" s="982" t="str">
        <f>J49</f>
        <v>Soins de santé</v>
      </c>
      <c r="K91" s="982"/>
      <c r="L91" s="982"/>
      <c r="M91" s="982"/>
      <c r="N91" s="982"/>
      <c r="O91" s="982"/>
      <c r="P91" s="982"/>
      <c r="Q91" s="982"/>
      <c r="R91" s="982"/>
      <c r="S91" s="982"/>
      <c r="T91" s="1005" t="str">
        <f t="shared" si="9"/>
        <v>N.D.</v>
      </c>
      <c r="U91" s="1005"/>
      <c r="V91" s="1005"/>
      <c r="W91" s="128"/>
      <c r="X91" s="1005" t="str">
        <f t="shared" si="10"/>
        <v>N.D.</v>
      </c>
      <c r="Y91" s="1005"/>
      <c r="Z91" s="1005"/>
      <c r="AA91" s="128"/>
      <c r="AB91" s="1005" t="str">
        <f t="shared" si="11"/>
        <v>N.D.</v>
      </c>
      <c r="AC91" s="1005"/>
      <c r="AD91" s="1005"/>
      <c r="AE91" s="128"/>
      <c r="AF91" s="1005" t="str">
        <f t="shared" si="12"/>
        <v>N.D.</v>
      </c>
      <c r="AG91" s="1005"/>
      <c r="AH91" s="1005"/>
      <c r="AM91" s="1012" t="str">
        <f t="shared" si="13"/>
        <v/>
      </c>
      <c r="AN91" s="1012"/>
      <c r="AO91" s="1012"/>
      <c r="AP91" s="128"/>
      <c r="AQ91" s="1012" t="str">
        <f t="shared" si="14"/>
        <v/>
      </c>
      <c r="AR91" s="1012"/>
      <c r="AS91" s="1012"/>
      <c r="AT91" s="128"/>
      <c r="AU91" s="1012" t="str">
        <f t="shared" si="15"/>
        <v/>
      </c>
      <c r="AV91" s="1012"/>
      <c r="AW91" s="1012"/>
      <c r="AX91" s="128"/>
      <c r="AY91" s="1012" t="str">
        <f t="shared" si="16"/>
        <v/>
      </c>
      <c r="AZ91" s="1012"/>
      <c r="BA91" s="1012"/>
      <c r="DF91" s="124"/>
      <c r="DJ91" s="57"/>
      <c r="DK91" s="1026" t="s">
        <v>276</v>
      </c>
      <c r="DL91" s="1026"/>
      <c r="DM91" s="1026"/>
      <c r="DN91" s="1026"/>
      <c r="DO91" s="1026"/>
      <c r="DP91" s="1026"/>
      <c r="DQ91" s="1026"/>
      <c r="DR91" s="1026"/>
      <c r="DS91" s="1031" t="str">
        <f>IF(COUNTIF(DS86:DS89,N.D.)&gt;0,N.D.,SUM(DS86:DS89))</f>
        <v>N.D.</v>
      </c>
      <c r="DT91" s="1031"/>
      <c r="DU91" s="1031"/>
      <c r="DV91" s="1031"/>
      <c r="DW91" s="203"/>
      <c r="DX91" s="1031" t="str">
        <f>IF(COUNTIF(DX86:DX89,N.D.)&gt;0,N.D.,SUM(DX86:DX89))</f>
        <v>N.D.</v>
      </c>
      <c r="DY91" s="1031"/>
      <c r="DZ91" s="1031"/>
      <c r="EA91" s="1031"/>
      <c r="EB91" s="203"/>
      <c r="EC91" s="743" t="str">
        <f>IF(OR(DS91=N.D.,DX91=N.D.),N.D.,SUM(DS91,DX91))</f>
        <v>N.D.</v>
      </c>
      <c r="ED91" s="743"/>
      <c r="EE91" s="743"/>
      <c r="EF91" s="743"/>
      <c r="EG91" s="27"/>
      <c r="FU91" s="99"/>
      <c r="FV91" s="87"/>
      <c r="FW91" s="54"/>
      <c r="FX91" s="54"/>
      <c r="FY91" s="54"/>
      <c r="FZ91" s="54"/>
      <c r="GA91" s="54"/>
      <c r="GB91" s="54"/>
      <c r="GC91" s="54"/>
      <c r="GD91" s="54"/>
      <c r="GE91" s="54"/>
      <c r="GF91" s="54"/>
      <c r="GG91" s="54"/>
      <c r="GH91" s="54"/>
      <c r="GI91" s="54"/>
      <c r="GJ91" s="54"/>
      <c r="GK91" s="54"/>
      <c r="GL91" s="54"/>
      <c r="GM91" s="54"/>
      <c r="GN91" s="54"/>
      <c r="GO91" s="54"/>
      <c r="GP91" s="54"/>
    </row>
    <row r="92" spans="6:198" ht="11.25" customHeight="1" thickBot="1" x14ac:dyDescent="0.3">
      <c r="F92" s="124"/>
      <c r="I92" s="129"/>
      <c r="J92" s="129"/>
      <c r="K92" s="129"/>
      <c r="L92" s="129"/>
      <c r="M92" s="129"/>
      <c r="N92" s="129"/>
      <c r="O92" s="129"/>
      <c r="P92" s="129"/>
      <c r="Q92" s="63"/>
      <c r="R92" s="63"/>
      <c r="S92" s="63"/>
      <c r="T92" s="63"/>
      <c r="U92" s="63"/>
      <c r="V92" s="63"/>
      <c r="W92" s="63"/>
      <c r="X92" s="63"/>
      <c r="Y92" s="63"/>
      <c r="Z92" s="63"/>
      <c r="AA92" s="63"/>
      <c r="AB92" s="63"/>
      <c r="AC92" s="63"/>
      <c r="AD92" s="63"/>
      <c r="AE92" s="63"/>
      <c r="AF92" s="63"/>
      <c r="AG92" s="63"/>
      <c r="AH92" s="63"/>
      <c r="AM92" s="63"/>
      <c r="AN92" s="63"/>
      <c r="AO92" s="63"/>
      <c r="AP92" s="63"/>
      <c r="AQ92" s="63"/>
      <c r="AR92" s="63"/>
      <c r="AS92" s="63"/>
      <c r="AT92" s="63"/>
      <c r="AU92" s="63"/>
      <c r="AV92" s="63"/>
      <c r="AW92" s="63"/>
      <c r="AX92" s="63"/>
      <c r="AY92" s="63"/>
      <c r="AZ92" s="63"/>
      <c r="BA92" s="63"/>
      <c r="DF92" s="124"/>
      <c r="DJ92" s="58"/>
      <c r="DK92" s="34"/>
      <c r="DL92" s="34"/>
      <c r="DM92" s="34"/>
      <c r="DN92" s="34"/>
      <c r="DO92" s="34"/>
      <c r="DP92" s="34"/>
      <c r="DQ92" s="34"/>
      <c r="DR92" s="34"/>
      <c r="DS92" s="34"/>
      <c r="DT92" s="34"/>
      <c r="DU92" s="34"/>
      <c r="DV92" s="34"/>
      <c r="DW92" s="34"/>
      <c r="DX92" s="34"/>
      <c r="DY92" s="34"/>
      <c r="DZ92" s="34"/>
      <c r="EA92" s="34"/>
      <c r="EB92" s="34"/>
      <c r="EC92" s="34"/>
      <c r="ED92" s="34"/>
      <c r="EE92" s="34"/>
      <c r="EF92" s="34"/>
      <c r="EG92" s="35"/>
      <c r="FU92" s="99"/>
      <c r="FV92" s="87"/>
      <c r="FW92" s="54"/>
      <c r="FX92" s="54"/>
      <c r="FY92" s="54"/>
      <c r="FZ92" s="54"/>
      <c r="GA92" s="54"/>
      <c r="GB92" s="54"/>
      <c r="GC92" s="54"/>
      <c r="GD92" s="54"/>
      <c r="GE92" s="54"/>
      <c r="GF92" s="54"/>
      <c r="GG92" s="54"/>
      <c r="GH92" s="54"/>
      <c r="GI92" s="54"/>
      <c r="GJ92" s="54"/>
      <c r="GK92" s="54"/>
      <c r="GL92" s="54"/>
      <c r="GM92" s="54"/>
      <c r="GN92" s="54"/>
      <c r="GO92" s="54"/>
      <c r="GP92" s="54"/>
    </row>
    <row r="93" spans="6:198" ht="15" customHeight="1" x14ac:dyDescent="0.25">
      <c r="F93" s="124"/>
      <c r="AG93" s="691" t="str">
        <f>$AG$51</f>
        <v>Secteur non connu</v>
      </c>
      <c r="AH93" s="691"/>
      <c r="AI93" s="691"/>
      <c r="AJ93" s="691"/>
      <c r="AK93" s="691"/>
      <c r="AL93" s="691"/>
      <c r="AM93" s="1005" t="str">
        <f>IF(AND(AM51="",AM72=""),"",IF(OR(AM51="",AM72=""),N.D.,SUM(AM51,AM72)))</f>
        <v/>
      </c>
      <c r="AN93" s="1005"/>
      <c r="AO93" s="1005"/>
      <c r="AP93" s="128"/>
      <c r="AQ93" s="1005" t="str">
        <f>IF(AND(AQ51="",AQ72=""),"",IF(OR(AND(AQ51="",COUNTA(AQ38:AQ42,AQ44:AQ45,AQ47:AQ49)=0),AND(AQ72="",COUNTA(AQ59:AQ63,AQ68:AQ70,AQ65:AQ66)=0)),N.D.,SUM(AQ51,AQ72)))</f>
        <v/>
      </c>
      <c r="AR93" s="1005"/>
      <c r="AS93" s="1005"/>
      <c r="AT93" s="128"/>
      <c r="AU93" s="1005" t="str">
        <f>IF(AND(AU51="",AU72=""),"",IF(OR(AU51="",AU72=""),N.D.,SUM(AU51,AU72)))</f>
        <v/>
      </c>
      <c r="AV93" s="1005"/>
      <c r="AW93" s="1005"/>
      <c r="AX93" s="128"/>
      <c r="AY93" s="1005" t="str">
        <f>IF(AND(AY51="",AY72=""),"",IF(OR(AY51="",AY72=""),N.D.,SUM(AY51,AY72)))</f>
        <v/>
      </c>
      <c r="AZ93" s="1005"/>
      <c r="BA93" s="1005"/>
      <c r="DF93" s="124"/>
      <c r="FU93" s="99"/>
      <c r="FV93" s="87"/>
      <c r="FW93" s="54"/>
      <c r="FX93" s="54"/>
      <c r="FY93" s="54"/>
      <c r="FZ93" s="54"/>
      <c r="GA93" s="54"/>
      <c r="GB93" s="54"/>
      <c r="GC93" s="54"/>
      <c r="GD93" s="54"/>
      <c r="GE93" s="54"/>
      <c r="GF93" s="54"/>
      <c r="GG93" s="54"/>
      <c r="GH93" s="54"/>
      <c r="GI93" s="54"/>
      <c r="GJ93" s="54"/>
      <c r="GK93" s="54"/>
      <c r="GL93" s="54"/>
      <c r="GM93" s="54"/>
      <c r="GN93" s="54"/>
      <c r="GO93" s="54"/>
      <c r="GP93" s="54"/>
    </row>
    <row r="94" spans="6:198" ht="11.25" customHeight="1" x14ac:dyDescent="0.25">
      <c r="F94" s="124"/>
      <c r="I94" s="189"/>
      <c r="J94" s="189"/>
      <c r="K94" s="189"/>
      <c r="L94" s="189"/>
      <c r="M94" s="189"/>
      <c r="N94" s="189"/>
      <c r="O94" s="189"/>
      <c r="P94" s="189"/>
      <c r="Q94" s="63"/>
      <c r="R94" s="63"/>
      <c r="S94" s="63"/>
      <c r="T94" s="63"/>
      <c r="U94" s="63"/>
      <c r="V94" s="63"/>
      <c r="W94" s="63"/>
      <c r="X94" s="63"/>
      <c r="Y94" s="63"/>
      <c r="Z94" s="63"/>
      <c r="AA94" s="63"/>
      <c r="AB94" s="63"/>
      <c r="AC94" s="63"/>
      <c r="AD94" s="63"/>
      <c r="AE94" s="63"/>
      <c r="AF94" s="63"/>
      <c r="AG94" s="63"/>
      <c r="AH94" s="63"/>
      <c r="AM94" s="63"/>
      <c r="AN94" s="63"/>
      <c r="AO94" s="63"/>
      <c r="AP94" s="63"/>
      <c r="AQ94" s="63"/>
      <c r="AR94" s="63"/>
      <c r="AS94" s="63"/>
      <c r="AT94" s="63"/>
      <c r="AU94" s="63"/>
      <c r="AV94" s="63"/>
      <c r="AW94" s="63"/>
      <c r="AX94" s="63"/>
      <c r="AY94" s="63"/>
      <c r="AZ94" s="63"/>
      <c r="BA94" s="63"/>
      <c r="DF94" s="124"/>
      <c r="FU94" s="99"/>
      <c r="FV94" s="87"/>
      <c r="FW94" s="54"/>
      <c r="FX94" s="54"/>
      <c r="FY94" s="54"/>
      <c r="FZ94" s="54"/>
      <c r="GA94" s="54"/>
      <c r="GB94" s="54"/>
      <c r="GC94" s="54"/>
      <c r="GD94" s="54"/>
      <c r="GE94" s="54"/>
      <c r="GF94" s="54"/>
      <c r="GG94" s="54"/>
      <c r="GH94" s="54"/>
      <c r="GI94" s="54"/>
      <c r="GJ94" s="54"/>
      <c r="GK94" s="54"/>
      <c r="GL94" s="54"/>
      <c r="GM94" s="54"/>
      <c r="GN94" s="54"/>
      <c r="GO94" s="54"/>
      <c r="GP94" s="54"/>
    </row>
    <row r="95" spans="6:198" ht="15" customHeight="1" x14ac:dyDescent="0.25">
      <c r="F95" s="124"/>
      <c r="I95" s="1026" t="str">
        <f>I53</f>
        <v>Total</v>
      </c>
      <c r="J95" s="1026"/>
      <c r="K95" s="1026"/>
      <c r="L95" s="1026"/>
      <c r="M95" s="1026"/>
      <c r="N95" s="1026"/>
      <c r="O95" s="1026"/>
      <c r="P95" s="1026"/>
      <c r="Q95" s="1026"/>
      <c r="R95" s="1026"/>
      <c r="S95" s="1026"/>
      <c r="T95" s="765" t="str">
        <f>IF(OR(T53=N.D.,T74=N.D.),N.D.,SUM(T53,T74))</f>
        <v>N.D.</v>
      </c>
      <c r="U95" s="765"/>
      <c r="V95" s="765"/>
      <c r="W95" s="171"/>
      <c r="X95" s="765" t="str">
        <f>IF(OR(X53=N.D.,X74=N.D.),N.D.,SUM(X53,X74))</f>
        <v>N.D.</v>
      </c>
      <c r="Y95" s="765"/>
      <c r="Z95" s="765"/>
      <c r="AA95" s="172"/>
      <c r="AB95" s="765" t="str">
        <f>IF(OR(AB53=N.D.,AB74=N.D.),N.D.,SUM(AB53,AB74))</f>
        <v>N.D.</v>
      </c>
      <c r="AC95" s="765"/>
      <c r="AD95" s="765"/>
      <c r="AE95" s="172"/>
      <c r="AF95" s="765" t="str">
        <f>IF(OR(AF53=N.D.,AF74=N.D.),N.D.,SUM(AF53,AF74))</f>
        <v>N.D.</v>
      </c>
      <c r="AG95" s="765"/>
      <c r="AH95" s="765"/>
      <c r="AM95" s="765">
        <f>IF(AND(AM53="",AM74=""),"",IF(OR(AM53="",AM74="",AM53=N.D.,AM74=N.D.),N.D.,SUM(AM53,AM74)))</f>
        <v>0</v>
      </c>
      <c r="AN95" s="765"/>
      <c r="AO95" s="765"/>
      <c r="AP95" s="171"/>
      <c r="AQ95" s="765">
        <f>IF(AND(AQ53="",AQ74=""),"",IF(OR(AQ53="",AQ74="",AQ53=N.D.,AQ74=N.D.),N.D.,SUM(AQ53,AQ74)))</f>
        <v>0</v>
      </c>
      <c r="AR95" s="765"/>
      <c r="AS95" s="765"/>
      <c r="AT95" s="172"/>
      <c r="AU95" s="765">
        <f>IF(AND(AU53="",AU74=""),"",IF(OR(AU53="",AU74="",AU53=N.D.,AU74=N.D.),N.D.,SUM(AU53,AU74)))</f>
        <v>0</v>
      </c>
      <c r="AV95" s="765"/>
      <c r="AW95" s="765"/>
      <c r="AX95" s="172"/>
      <c r="AY95" s="765">
        <f>IF(AND(AY53="",AY74=""),"",IF(OR(AY53="",AY74="",AY53=N.D.,AY74=N.D.),N.D.,SUM(AY53,AY74)))</f>
        <v>0</v>
      </c>
      <c r="AZ95" s="765"/>
      <c r="BA95" s="765"/>
      <c r="DF95" s="124"/>
      <c r="FU95" s="99"/>
      <c r="FV95" s="87"/>
      <c r="FW95" s="54"/>
      <c r="FX95" s="54"/>
      <c r="FY95" s="54"/>
      <c r="FZ95" s="54"/>
      <c r="GA95" s="54"/>
      <c r="GB95" s="54"/>
      <c r="GC95" s="54"/>
      <c r="GD95" s="54"/>
      <c r="GE95" s="54"/>
      <c r="GF95" s="54"/>
      <c r="GG95" s="54"/>
      <c r="GH95" s="54"/>
      <c r="GI95" s="54"/>
      <c r="GJ95" s="54"/>
      <c r="GK95" s="54"/>
      <c r="GL95" s="54"/>
      <c r="GM95" s="54"/>
      <c r="GN95" s="54"/>
      <c r="GO95" s="54"/>
      <c r="GP95" s="54"/>
    </row>
    <row r="96" spans="6:198" ht="15" customHeight="1" x14ac:dyDescent="0.25">
      <c r="F96" s="124"/>
      <c r="I96" s="770" t="str">
        <f>IF((COUNTIF(T95,N.D.)+(COUNTIF(X95,N.D.)))=0,"",N.D.)</f>
        <v>N.D.</v>
      </c>
      <c r="J96" s="770"/>
      <c r="K96" s="735" t="str">
        <f>IF(I96=N.D.,txt_N.D.&amp;'Données générales'!J8&amp;", "&amp;'Données générales'!AH8&amp;" ou "&amp;I5,"")</f>
        <v>Non disponible : vérifiez les données à la question 1.3, 1.5 ou 3.1.</v>
      </c>
      <c r="L96" s="735"/>
      <c r="M96" s="735"/>
      <c r="N96" s="735"/>
      <c r="O96" s="735"/>
      <c r="P96" s="735"/>
      <c r="Q96" s="735"/>
      <c r="R96" s="735"/>
      <c r="S96" s="735"/>
      <c r="T96" s="735"/>
      <c r="U96" s="735"/>
      <c r="V96" s="735"/>
      <c r="W96" s="735"/>
      <c r="X96" s="735"/>
      <c r="Y96" s="735"/>
      <c r="Z96" s="735"/>
      <c r="AA96" s="735"/>
      <c r="AB96" s="735"/>
      <c r="AC96" s="735"/>
      <c r="AD96" s="735"/>
      <c r="DF96" s="124"/>
      <c r="FU96" s="99"/>
      <c r="FV96" s="87"/>
      <c r="FW96" s="54"/>
      <c r="FX96" s="54"/>
      <c r="FY96" s="54"/>
      <c r="FZ96" s="54"/>
      <c r="GA96" s="54"/>
      <c r="GB96" s="54"/>
      <c r="GC96" s="54"/>
      <c r="GD96" s="54"/>
      <c r="GE96" s="54"/>
      <c r="GF96" s="54"/>
      <c r="GG96" s="54"/>
      <c r="GH96" s="54"/>
      <c r="GI96" s="54"/>
      <c r="GJ96" s="54"/>
      <c r="GK96" s="54"/>
      <c r="GL96" s="54"/>
      <c r="GM96" s="54"/>
      <c r="GN96" s="54"/>
      <c r="GO96" s="54"/>
      <c r="GP96" s="54"/>
    </row>
    <row r="97" spans="3:198" ht="15" customHeight="1" x14ac:dyDescent="0.25">
      <c r="F97" s="124"/>
      <c r="AB97" s="1027" t="str">
        <f>txt_aide</f>
        <v>Aide à la validation des données :</v>
      </c>
      <c r="AC97" s="1027"/>
      <c r="AD97" s="1027"/>
      <c r="AE97" s="1027"/>
      <c r="AF97" s="1027"/>
      <c r="AG97" s="1027"/>
      <c r="AH97" s="1027"/>
      <c r="AI97" s="1027"/>
      <c r="AJ97" s="1027"/>
      <c r="AK97" s="1027"/>
      <c r="AL97" s="1027"/>
      <c r="AM97" s="764" t="str">
        <f>IF(OR(T95=N.D.,AM95=N.D.),N.D.,IF(AND(T95=0,AM95=0),0,IF(OR(T95=0,AM95=0),N.A.,IF(AM95&lt;T95,(T95-AM95)/AM95,(AM95-T95)/T95))))</f>
        <v>N.D.</v>
      </c>
      <c r="AN97" s="764"/>
      <c r="AO97" s="764"/>
      <c r="AP97" s="172"/>
      <c r="AQ97" s="764" t="str">
        <f>IF(OR(X95=N.D.,COUNTBLANK(AQ79:AQ91)&gt;0,$I$75=N.D.),N.D.,IF(AND(X95=0,AQ95=0),0,IF(OR(X95=0,AQ95=0),N.A.,IF(AQ95&lt;X95,(X95-AQ95)/AQ95,(AQ95-X95)/X95))))</f>
        <v>N.D.</v>
      </c>
      <c r="AR97" s="764"/>
      <c r="AS97" s="764"/>
      <c r="AT97" s="172"/>
      <c r="AU97" s="764" t="str">
        <f>IF(OR(AB95=N.D.,COUNTBLANK(AU79:AU91)&gt;0,$I$75=N.D.),N.D.,IF(AND(AB95=0,AU95=0),0,IF(OR(AB95=0,AU95=0),N.A.,IF(AU95&lt;AB95,(AB95-AU95)/AU95,(AU95-AB95)/AB95))))</f>
        <v>N.D.</v>
      </c>
      <c r="AV97" s="764"/>
      <c r="AW97" s="764"/>
      <c r="AX97" s="172"/>
      <c r="AY97" s="764" t="str">
        <f>IF(OR(AF95=N.D.,COUNTBLANK(AY79:AY91)&gt;0,$I$75=N.D.),N.D.,IF(AND(AF95=0,AY95=0),0,IF(OR(AF95=0,AY95=0),N.A.,IF(AY95&lt;AF95,(AF95-AY95)/AY95,(AY95-AF95)/AF95))))</f>
        <v>N.D.</v>
      </c>
      <c r="AZ97" s="764"/>
      <c r="BA97" s="764"/>
      <c r="DF97" s="124"/>
      <c r="FU97" s="99"/>
      <c r="FV97" s="87"/>
      <c r="FW97" s="54"/>
      <c r="FX97" s="54"/>
      <c r="FY97" s="54"/>
      <c r="FZ97" s="54"/>
      <c r="GA97" s="54"/>
      <c r="GB97" s="54"/>
      <c r="GC97" s="54"/>
      <c r="GD97" s="54"/>
      <c r="GE97" s="54"/>
      <c r="GF97" s="54"/>
      <c r="GG97" s="54"/>
      <c r="GH97" s="54"/>
      <c r="GI97" s="54"/>
      <c r="GJ97" s="54"/>
      <c r="GK97" s="54"/>
      <c r="GL97" s="54"/>
      <c r="GM97" s="54"/>
      <c r="GN97" s="54"/>
      <c r="GO97" s="54"/>
      <c r="GP97" s="54"/>
    </row>
    <row r="98" spans="3:198" ht="15" customHeight="1" x14ac:dyDescent="0.25">
      <c r="F98" s="124"/>
      <c r="AB98" s="115" t="str">
        <f>IF(ici_utiliser_donnees&lt;&gt;menu_outil,IF((COUNTIF(AM97,N.D.)+(COUNTIF(AQ97,N.D.)))=0,"",N.D.),"")</f>
        <v>N.D.</v>
      </c>
      <c r="AC98" s="16" t="str">
        <f>puce1</f>
        <v>Ä</v>
      </c>
      <c r="AD98" s="735" t="str">
        <f>IF(I96=N.D.,K96,IF(AB98=N.D.,txt_N.D.&amp;I5,IF(ici_utiliser_donnees&lt;&gt;menu_outil,"",txt_validation)))</f>
        <v>Non disponible : vérifiez les données à la question 1.3, 1.5 ou 3.1.</v>
      </c>
      <c r="AE98" s="735"/>
      <c r="AF98" s="735"/>
      <c r="AG98" s="735"/>
      <c r="AH98" s="735"/>
      <c r="AI98" s="735"/>
      <c r="AJ98" s="735"/>
      <c r="AK98" s="735"/>
      <c r="AL98" s="735"/>
      <c r="AM98" s="735"/>
      <c r="AN98" s="735"/>
      <c r="AO98" s="735"/>
      <c r="AP98" s="735"/>
      <c r="AQ98" s="735"/>
      <c r="AR98" s="735"/>
      <c r="AS98" s="735"/>
      <c r="AT98" s="735"/>
      <c r="AU98" s="735"/>
      <c r="AV98" s="735"/>
      <c r="AW98" s="735"/>
      <c r="BA98" s="36"/>
      <c r="DF98" s="124"/>
      <c r="FU98" s="99"/>
      <c r="FV98" s="87"/>
      <c r="FW98" s="54"/>
      <c r="FX98" s="54"/>
      <c r="FY98" s="54"/>
      <c r="FZ98" s="54"/>
      <c r="GA98" s="54"/>
      <c r="GB98" s="54"/>
      <c r="GC98" s="54"/>
      <c r="GD98" s="54"/>
      <c r="GE98" s="54"/>
      <c r="GF98" s="54"/>
      <c r="GG98" s="54"/>
      <c r="GH98" s="54"/>
      <c r="GI98" s="54"/>
      <c r="GJ98" s="54"/>
      <c r="GK98" s="54"/>
      <c r="GL98" s="54"/>
      <c r="GM98" s="54"/>
      <c r="GN98" s="54"/>
      <c r="GO98" s="54"/>
      <c r="GP98" s="54"/>
    </row>
    <row r="99" spans="3:198" ht="15" customHeight="1" x14ac:dyDescent="0.25">
      <c r="F99" s="124"/>
      <c r="AB99" s="99" t="str">
        <f>IF(ici_utiliser_donnees&lt;&gt;menu_outil,IF((COUNTIF(AM97,N.A.)+(COUNTIF(AQ97,N.A.)))=0,"",N.A.),"")</f>
        <v/>
      </c>
      <c r="AC99" s="87"/>
      <c r="AD99" s="766" t="str">
        <f>IF(AB99=N.A.,txt_N.A.,"")</f>
        <v/>
      </c>
      <c r="AE99" s="766"/>
      <c r="AF99" s="766"/>
      <c r="AG99" s="766"/>
      <c r="AH99" s="766"/>
      <c r="AI99" s="766"/>
      <c r="AJ99" s="766"/>
      <c r="AK99" s="766"/>
      <c r="AL99" s="766"/>
      <c r="AM99" s="766"/>
      <c r="AN99" s="766"/>
      <c r="AO99" s="766"/>
      <c r="AP99" s="766"/>
      <c r="AQ99" s="766"/>
      <c r="AR99" s="766"/>
      <c r="AS99" s="766"/>
      <c r="AT99" s="766"/>
      <c r="AU99" s="766"/>
      <c r="AV99" s="766"/>
      <c r="AW99" s="766"/>
      <c r="AX99" s="766"/>
      <c r="AY99" s="766"/>
      <c r="AZ99" s="766"/>
      <c r="BA99" s="766"/>
      <c r="DF99" s="124"/>
      <c r="FU99" s="99"/>
      <c r="FV99" s="87"/>
      <c r="FW99" s="54"/>
      <c r="FX99" s="54"/>
      <c r="FY99" s="54"/>
      <c r="FZ99" s="54"/>
      <c r="GA99" s="54"/>
      <c r="GB99" s="54"/>
      <c r="GC99" s="54"/>
      <c r="GD99" s="54"/>
      <c r="GE99" s="54"/>
      <c r="GF99" s="54"/>
      <c r="GG99" s="54"/>
      <c r="GH99" s="54"/>
      <c r="GI99" s="54"/>
      <c r="GJ99" s="54"/>
      <c r="GK99" s="54"/>
      <c r="GL99" s="54"/>
      <c r="GM99" s="54"/>
      <c r="GN99" s="54"/>
      <c r="GO99" s="54"/>
      <c r="GP99" s="54"/>
    </row>
    <row r="100" spans="3:198" ht="15" customHeight="1" x14ac:dyDescent="0.25">
      <c r="F100" s="124"/>
      <c r="AD100" s="766"/>
      <c r="AE100" s="766"/>
      <c r="AF100" s="766"/>
      <c r="AG100" s="766"/>
      <c r="AH100" s="766"/>
      <c r="AI100" s="766"/>
      <c r="AJ100" s="766"/>
      <c r="AK100" s="766"/>
      <c r="AL100" s="766"/>
      <c r="AM100" s="766"/>
      <c r="AN100" s="766"/>
      <c r="AO100" s="766"/>
      <c r="AP100" s="766"/>
      <c r="AQ100" s="766"/>
      <c r="AR100" s="766"/>
      <c r="AS100" s="766"/>
      <c r="AT100" s="766"/>
      <c r="AU100" s="766"/>
      <c r="AV100" s="766"/>
      <c r="AW100" s="766"/>
      <c r="AX100" s="766"/>
      <c r="AY100" s="766"/>
      <c r="AZ100" s="766"/>
      <c r="BA100" s="766"/>
      <c r="DF100" s="124"/>
      <c r="FU100" s="99"/>
      <c r="FV100" s="87"/>
      <c r="FW100" s="54"/>
      <c r="FX100" s="54"/>
      <c r="FY100" s="54"/>
      <c r="FZ100" s="54"/>
      <c r="GA100" s="54"/>
      <c r="GB100" s="54"/>
      <c r="GC100" s="54"/>
      <c r="GD100" s="54"/>
      <c r="GE100" s="54"/>
      <c r="GF100" s="54"/>
      <c r="GG100" s="54"/>
      <c r="GH100" s="54"/>
      <c r="GI100" s="54"/>
      <c r="GJ100" s="54"/>
      <c r="GK100" s="54"/>
      <c r="GL100" s="54"/>
      <c r="GM100" s="54"/>
      <c r="GN100" s="54"/>
      <c r="GO100" s="54"/>
      <c r="GP100" s="54"/>
    </row>
    <row r="101" spans="3:198" ht="15" customHeight="1" x14ac:dyDescent="0.25">
      <c r="F101" s="124"/>
      <c r="AU101" s="61"/>
      <c r="AV101" s="61"/>
      <c r="AW101" s="61"/>
      <c r="AX101" s="61"/>
      <c r="AY101" s="61"/>
      <c r="AZ101" s="61"/>
      <c r="BA101" s="61"/>
      <c r="BB101" s="61"/>
      <c r="BC101" s="61"/>
      <c r="DF101" s="124"/>
      <c r="FU101" s="99"/>
      <c r="FV101" s="87"/>
      <c r="FW101" s="54"/>
      <c r="FX101" s="54"/>
      <c r="FY101" s="54"/>
      <c r="FZ101" s="54"/>
      <c r="GA101" s="54"/>
      <c r="GB101" s="54"/>
      <c r="GC101" s="54"/>
      <c r="GD101" s="54"/>
      <c r="GE101" s="54"/>
      <c r="GF101" s="54"/>
      <c r="GG101" s="54"/>
      <c r="GH101" s="54"/>
      <c r="GI101" s="54"/>
      <c r="GJ101" s="54"/>
      <c r="GK101" s="54"/>
      <c r="GL101" s="54"/>
      <c r="GM101" s="54"/>
      <c r="GN101" s="54"/>
      <c r="GO101" s="54"/>
      <c r="GP101" s="54"/>
    </row>
    <row r="102" spans="3:198" ht="6" customHeight="1" x14ac:dyDescent="0.25">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FU102" s="99"/>
      <c r="FV102" s="87"/>
      <c r="FW102" s="54"/>
      <c r="FX102" s="54"/>
      <c r="FY102" s="54"/>
      <c r="FZ102" s="54"/>
      <c r="GA102" s="54"/>
      <c r="GB102" s="54"/>
      <c r="GC102" s="54"/>
      <c r="GD102" s="54"/>
      <c r="GE102" s="54"/>
      <c r="GF102" s="54"/>
      <c r="GG102" s="54"/>
      <c r="GH102" s="54"/>
      <c r="GI102" s="54"/>
      <c r="GJ102" s="54"/>
      <c r="GK102" s="54"/>
      <c r="GL102" s="54"/>
      <c r="GM102" s="54"/>
      <c r="GN102" s="54"/>
      <c r="GO102" s="54"/>
      <c r="GP102" s="54"/>
    </row>
    <row r="103" spans="3:198" ht="15" customHeight="1" x14ac:dyDescent="0.25">
      <c r="F103" s="124"/>
      <c r="DF103" s="124"/>
      <c r="FU103" s="99"/>
      <c r="FV103" s="87"/>
      <c r="FW103" s="54"/>
      <c r="FX103" s="54"/>
      <c r="FY103" s="54"/>
      <c r="FZ103" s="54"/>
      <c r="GA103" s="54"/>
      <c r="GB103" s="54"/>
      <c r="GC103" s="54"/>
      <c r="GD103" s="54"/>
      <c r="GE103" s="54"/>
      <c r="GF103" s="54"/>
      <c r="GG103" s="54"/>
      <c r="GH103" s="54"/>
      <c r="GI103" s="54"/>
      <c r="GJ103" s="54"/>
      <c r="GK103" s="54"/>
      <c r="GL103" s="54"/>
      <c r="GM103" s="54"/>
      <c r="GN103" s="54"/>
      <c r="GO103" s="54"/>
      <c r="GP103" s="54"/>
    </row>
    <row r="104" spans="3:198" ht="15" customHeight="1" x14ac:dyDescent="0.25">
      <c r="C104" s="72">
        <f>C5+1</f>
        <v>2</v>
      </c>
      <c r="F104" s="124"/>
      <c r="H104" s="12"/>
      <c r="I104" s="185" t="str">
        <f>CONCATENATE($B$2,".",$C104,".")</f>
        <v>3.2.</v>
      </c>
      <c r="J104" s="1071" t="s">
        <v>389</v>
      </c>
      <c r="K104" s="1071"/>
      <c r="L104" s="1071"/>
      <c r="M104" s="1071"/>
      <c r="N104" s="1071"/>
      <c r="O104" s="1071"/>
      <c r="P104" s="1071"/>
      <c r="Q104" s="1071"/>
      <c r="R104" s="1071"/>
      <c r="S104" s="1071"/>
      <c r="T104" s="1071"/>
      <c r="U104" s="1071"/>
      <c r="DF104" s="124"/>
      <c r="FU104" s="99"/>
      <c r="FV104" s="87"/>
      <c r="FW104" s="54"/>
      <c r="FX104" s="54"/>
      <c r="FY104" s="54"/>
      <c r="FZ104" s="54"/>
      <c r="GA104" s="54"/>
      <c r="GB104" s="54"/>
      <c r="GC104" s="54"/>
      <c r="GD104" s="54"/>
      <c r="GE104" s="54"/>
      <c r="GF104" s="54"/>
      <c r="GG104" s="54"/>
      <c r="GH104" s="54"/>
      <c r="GI104" s="54"/>
      <c r="GJ104" s="54"/>
      <c r="GK104" s="54"/>
      <c r="GL104" s="54"/>
      <c r="GM104" s="54"/>
      <c r="GN104" s="54"/>
      <c r="GO104" s="54"/>
      <c r="GP104" s="54"/>
    </row>
    <row r="105" spans="3:198" ht="15" customHeight="1" thickBot="1" x14ac:dyDescent="0.3">
      <c r="F105" s="124"/>
      <c r="DF105" s="124"/>
      <c r="FU105" s="99"/>
      <c r="FV105" s="87"/>
      <c r="FW105" s="54"/>
      <c r="FX105" s="54"/>
      <c r="FY105" s="54"/>
      <c r="FZ105" s="54"/>
      <c r="GA105" s="54"/>
      <c r="GB105" s="54"/>
      <c r="GC105" s="54"/>
      <c r="GD105" s="54"/>
      <c r="GE105" s="54"/>
      <c r="GF105" s="54"/>
      <c r="GG105" s="54"/>
      <c r="GH105" s="54"/>
      <c r="GI105" s="54"/>
      <c r="GJ105" s="54"/>
      <c r="GK105" s="54"/>
      <c r="GL105" s="54"/>
      <c r="GM105" s="54"/>
      <c r="GN105" s="54"/>
      <c r="GO105" s="54"/>
      <c r="GP105" s="54"/>
    </row>
    <row r="106" spans="3:198" ht="15" customHeight="1" thickTop="1" thickBot="1" x14ac:dyDescent="0.3">
      <c r="C106" s="73" t="str">
        <f>C104&amp;".1"</f>
        <v>2.1</v>
      </c>
      <c r="D106" s="72" t="s">
        <v>642</v>
      </c>
      <c r="F106" s="124"/>
      <c r="H106" s="12"/>
      <c r="I106" s="70"/>
      <c r="J106" s="186" t="str">
        <f>CONCATENATE($B$2,".",$C106,".")</f>
        <v>3.2.1.</v>
      </c>
      <c r="K106" s="1070" t="s">
        <v>491</v>
      </c>
      <c r="L106" s="1070"/>
      <c r="M106" s="1070"/>
      <c r="N106" s="1070"/>
      <c r="O106" s="1070"/>
      <c r="P106" s="1070"/>
      <c r="Q106" s="1070"/>
      <c r="R106" s="1070"/>
      <c r="S106" s="1070"/>
      <c r="T106" s="1070"/>
      <c r="U106" s="1070"/>
      <c r="V106" s="1070"/>
      <c r="W106" s="1070"/>
      <c r="X106" s="1070"/>
      <c r="Y106" s="1070"/>
      <c r="Z106" s="667" t="s">
        <v>79</v>
      </c>
      <c r="AA106" s="667"/>
      <c r="AG106" s="175" t="str">
        <f>CONCATENATE($B$2,".",$D106,".")</f>
        <v>3.2.1.1.</v>
      </c>
      <c r="AH106" s="1124" t="s">
        <v>785</v>
      </c>
      <c r="AI106" s="1124"/>
      <c r="AJ106" s="1124"/>
      <c r="AK106" s="1124"/>
      <c r="AL106" s="1124"/>
      <c r="AM106" s="1124"/>
      <c r="AN106" s="1124"/>
      <c r="AO106" s="1124"/>
      <c r="AP106" s="1124"/>
      <c r="AQ106" s="1124"/>
      <c r="AR106" s="1124"/>
      <c r="AS106" s="1124"/>
      <c r="AT106" s="1124"/>
      <c r="AU106" s="1124"/>
      <c r="AV106" s="1124"/>
      <c r="AW106" s="652"/>
      <c r="AX106" s="652"/>
      <c r="DF106" s="124"/>
      <c r="FU106" s="99"/>
      <c r="FV106" s="87"/>
      <c r="FW106" s="54"/>
      <c r="FX106" s="54"/>
      <c r="FY106" s="54"/>
      <c r="FZ106" s="54"/>
      <c r="GA106" s="54"/>
      <c r="GB106" s="54"/>
      <c r="GC106" s="54"/>
      <c r="GD106" s="54"/>
      <c r="GE106" s="54"/>
      <c r="GF106" s="54"/>
      <c r="GG106" s="54"/>
      <c r="GH106" s="54"/>
      <c r="GI106" s="54"/>
      <c r="GJ106" s="54"/>
      <c r="GK106" s="54"/>
      <c r="GL106" s="54"/>
      <c r="GM106" s="54"/>
      <c r="GN106" s="54"/>
      <c r="GO106" s="54"/>
      <c r="GP106" s="54"/>
    </row>
    <row r="107" spans="3:198" ht="15" customHeight="1" thickTop="1" thickBot="1" x14ac:dyDescent="0.3">
      <c r="F107" s="124"/>
      <c r="H107" s="12"/>
      <c r="I107" s="70"/>
      <c r="J107" s="16" t="str">
        <f>puce1</f>
        <v>Ä</v>
      </c>
      <c r="K107" s="1" t="s">
        <v>543</v>
      </c>
      <c r="L107" s="125"/>
      <c r="M107" s="125"/>
      <c r="N107" s="125"/>
      <c r="O107" s="125"/>
      <c r="P107" s="125"/>
      <c r="Q107" s="125"/>
      <c r="R107" s="125"/>
      <c r="S107" s="125"/>
      <c r="T107" s="125"/>
      <c r="U107" s="125"/>
      <c r="V107" s="125"/>
      <c r="W107" s="125"/>
      <c r="AG107" s="16"/>
      <c r="AH107" s="1124"/>
      <c r="AI107" s="1124"/>
      <c r="AJ107" s="1124"/>
      <c r="AK107" s="1124"/>
      <c r="AL107" s="1124"/>
      <c r="AM107" s="1124"/>
      <c r="AN107" s="1124"/>
      <c r="AO107" s="1124"/>
      <c r="AP107" s="1124"/>
      <c r="AQ107" s="1124"/>
      <c r="AR107" s="1124"/>
      <c r="AS107" s="1124"/>
      <c r="AT107" s="1124"/>
      <c r="AU107" s="1124"/>
      <c r="AV107" s="1124"/>
      <c r="AW107" s="759"/>
      <c r="AX107" s="759"/>
      <c r="AY107" s="759"/>
      <c r="BA107" s="667" t="s">
        <v>79</v>
      </c>
      <c r="BB107" s="667"/>
      <c r="BC107" s="302"/>
      <c r="DF107" s="124"/>
      <c r="FU107" s="99"/>
      <c r="FV107" s="87"/>
      <c r="FW107" s="54"/>
      <c r="FX107" s="54"/>
      <c r="FY107" s="54"/>
      <c r="FZ107" s="54"/>
      <c r="GA107" s="54"/>
      <c r="GB107" s="54"/>
      <c r="GC107" s="54"/>
      <c r="GD107" s="54"/>
      <c r="GE107" s="54"/>
      <c r="GF107" s="54"/>
      <c r="GG107" s="54"/>
      <c r="GH107" s="54"/>
      <c r="GI107" s="54"/>
      <c r="GJ107" s="54"/>
      <c r="GK107" s="54"/>
      <c r="GL107" s="54"/>
      <c r="GM107" s="54"/>
      <c r="GN107" s="54"/>
      <c r="GO107" s="54"/>
      <c r="GP107" s="54"/>
    </row>
    <row r="108" spans="3:198" ht="15" customHeight="1" thickTop="1" thickBot="1" x14ac:dyDescent="0.3">
      <c r="F108" s="124"/>
      <c r="H108" s="12"/>
      <c r="I108" s="70"/>
      <c r="J108" s="16"/>
      <c r="K108" s="1"/>
      <c r="L108" s="125"/>
      <c r="M108" s="125"/>
      <c r="N108" s="125"/>
      <c r="O108" s="125"/>
      <c r="P108" s="125"/>
      <c r="Q108" s="125"/>
      <c r="R108" s="125"/>
      <c r="S108" s="125"/>
      <c r="T108" s="125"/>
      <c r="U108" s="125"/>
      <c r="V108" s="125"/>
      <c r="W108" s="125"/>
      <c r="AI108" s="16"/>
      <c r="AJ108" s="583"/>
      <c r="AK108" s="583"/>
      <c r="AL108" s="583"/>
      <c r="AM108" s="583"/>
      <c r="AN108" s="583"/>
      <c r="AO108" s="583"/>
      <c r="AP108" s="583"/>
      <c r="AQ108" s="583"/>
      <c r="AR108" s="583"/>
      <c r="AS108" s="583"/>
      <c r="AT108" s="583"/>
      <c r="AU108" s="583"/>
      <c r="AV108" s="583"/>
      <c r="AW108" s="583"/>
      <c r="AX108" s="583"/>
      <c r="AY108" s="583"/>
      <c r="BC108" s="302"/>
      <c r="DF108" s="124"/>
      <c r="FU108" s="99"/>
      <c r="FV108" s="87"/>
      <c r="FW108" s="54"/>
      <c r="FX108" s="54"/>
      <c r="FY108" s="54"/>
      <c r="FZ108" s="54"/>
      <c r="GA108" s="54"/>
      <c r="GB108" s="54"/>
      <c r="GC108" s="54"/>
      <c r="GD108" s="54"/>
      <c r="GE108" s="54"/>
      <c r="GF108" s="54"/>
      <c r="GG108" s="54"/>
      <c r="GH108" s="54"/>
      <c r="GI108" s="54"/>
      <c r="GJ108" s="54"/>
      <c r="GK108" s="54"/>
      <c r="GL108" s="54"/>
      <c r="GM108" s="54"/>
      <c r="GN108" s="54"/>
      <c r="GO108" s="54"/>
      <c r="GP108" s="54"/>
    </row>
    <row r="109" spans="3:198" ht="15" customHeight="1" thickTop="1" x14ac:dyDescent="0.25">
      <c r="D109" s="72" t="s">
        <v>481</v>
      </c>
      <c r="F109" s="124"/>
      <c r="H109" s="12"/>
      <c r="J109" s="73"/>
      <c r="K109" s="125"/>
      <c r="L109" s="125"/>
      <c r="M109" s="125"/>
      <c r="N109" s="125"/>
      <c r="O109" s="125"/>
      <c r="P109" s="125"/>
      <c r="Q109" s="125"/>
      <c r="R109" s="125"/>
      <c r="S109" s="125"/>
      <c r="T109" s="125"/>
      <c r="U109" s="125"/>
      <c r="V109" s="125"/>
      <c r="W109" s="125"/>
      <c r="AF109" s="299"/>
      <c r="AG109" s="300"/>
      <c r="AH109" s="301" t="s">
        <v>542</v>
      </c>
      <c r="AI109" s="301"/>
      <c r="AJ109" s="301"/>
      <c r="AK109" s="301"/>
      <c r="AL109" s="301"/>
      <c r="AM109" s="301"/>
      <c r="AN109" s="301"/>
      <c r="AO109" s="301"/>
      <c r="AP109" s="301"/>
      <c r="AQ109" s="300"/>
      <c r="AR109" s="300"/>
      <c r="AS109" s="300"/>
      <c r="AT109" s="300"/>
      <c r="AU109" s="300"/>
      <c r="AV109" s="300"/>
      <c r="AW109" s="300"/>
      <c r="AX109" s="300"/>
      <c r="AY109" s="300"/>
      <c r="AZ109" s="300"/>
      <c r="BA109" s="300"/>
      <c r="BB109" s="300"/>
      <c r="BC109" s="36"/>
      <c r="DF109" s="124"/>
      <c r="FU109" s="99"/>
      <c r="FV109" s="87"/>
      <c r="FW109" s="54"/>
      <c r="FX109" s="54"/>
      <c r="FY109" s="54"/>
      <c r="FZ109" s="54"/>
      <c r="GA109" s="54"/>
      <c r="GB109" s="54"/>
      <c r="GC109" s="54"/>
      <c r="GD109" s="54"/>
      <c r="GE109" s="54"/>
      <c r="GF109" s="54"/>
      <c r="GG109" s="54"/>
      <c r="GH109" s="54"/>
      <c r="GI109" s="54"/>
      <c r="GJ109" s="54"/>
      <c r="GK109" s="54"/>
      <c r="GL109" s="54"/>
      <c r="GM109" s="54"/>
      <c r="GN109" s="54"/>
      <c r="GO109" s="54"/>
      <c r="GP109" s="54"/>
    </row>
    <row r="110" spans="3:198" ht="15" customHeight="1" thickBot="1" x14ac:dyDescent="0.3">
      <c r="F110" s="124"/>
      <c r="H110" s="12"/>
      <c r="I110" s="100" t="s">
        <v>485</v>
      </c>
      <c r="J110" s="73"/>
      <c r="K110" s="125"/>
      <c r="L110" s="125"/>
      <c r="M110" s="125"/>
      <c r="N110" s="125"/>
      <c r="O110" s="125"/>
      <c r="P110" s="125"/>
      <c r="Q110" s="125"/>
      <c r="R110" s="125"/>
      <c r="S110" s="125"/>
      <c r="T110" s="125"/>
      <c r="U110"/>
      <c r="V110"/>
      <c r="W110" s="125"/>
      <c r="AF110" s="190"/>
      <c r="AH110" s="100" t="str">
        <f>"Données pour le territoire : "&amp;IF(AW107&lt;&gt;"Oui","(fournies à titre indicatif)","(UTILISÉES DANS LES CALCULS)")</f>
        <v>Données pour le territoire : (fournies à titre indicatif)</v>
      </c>
      <c r="AJ110" s="302"/>
      <c r="AK110" s="302"/>
      <c r="AL110" s="302"/>
      <c r="AM110" s="302"/>
      <c r="AN110" s="302"/>
      <c r="AO110" s="302"/>
      <c r="AP110" s="302"/>
      <c r="AQ110" s="302"/>
      <c r="AR110" s="302"/>
      <c r="AS110" s="302"/>
      <c r="AT110" s="302"/>
      <c r="AU110" s="302"/>
      <c r="BB110" s="636"/>
      <c r="DF110" s="124"/>
      <c r="FU110" s="99"/>
      <c r="FV110" s="87"/>
      <c r="FW110" s="54"/>
      <c r="FX110" s="54"/>
      <c r="FY110" s="54"/>
      <c r="FZ110" s="54"/>
      <c r="GA110" s="54"/>
      <c r="GB110" s="54"/>
      <c r="GC110" s="54"/>
      <c r="GD110" s="54"/>
      <c r="GE110" s="54"/>
      <c r="GF110" s="54"/>
      <c r="GG110" s="54"/>
      <c r="GH110" s="54"/>
      <c r="GI110" s="54"/>
      <c r="GJ110" s="54"/>
      <c r="GK110" s="54"/>
      <c r="GL110" s="54"/>
      <c r="GM110" s="54"/>
      <c r="GN110" s="54"/>
      <c r="GO110" s="54"/>
      <c r="GP110" s="54"/>
    </row>
    <row r="111" spans="3:198" ht="15" customHeight="1" x14ac:dyDescent="0.25">
      <c r="F111" s="124"/>
      <c r="AF111" s="190"/>
      <c r="BB111" s="636"/>
      <c r="DF111" s="124"/>
      <c r="DJ111" s="106"/>
      <c r="DK111" s="107"/>
      <c r="DL111" s="107"/>
      <c r="DM111" s="107"/>
      <c r="DN111" s="107"/>
      <c r="DO111" s="107"/>
      <c r="DP111" s="107"/>
      <c r="DQ111" s="107"/>
      <c r="DR111" s="107"/>
      <c r="DS111" s="107"/>
      <c r="DT111" s="107"/>
      <c r="DU111" s="107"/>
      <c r="DV111" s="108"/>
      <c r="DX111" s="106"/>
      <c r="DY111" s="107"/>
      <c r="DZ111" s="107"/>
      <c r="EA111" s="107"/>
      <c r="EB111" s="107"/>
      <c r="EC111" s="107"/>
      <c r="ED111" s="107"/>
      <c r="EE111" s="107"/>
      <c r="EF111" s="107"/>
      <c r="EG111" s="107"/>
      <c r="EH111" s="107"/>
      <c r="EI111" s="107"/>
      <c r="EJ111" s="107"/>
      <c r="EK111" s="107"/>
      <c r="EL111" s="107"/>
      <c r="EM111" s="107"/>
      <c r="EN111" s="108"/>
      <c r="FU111" s="99"/>
      <c r="FV111" s="87"/>
      <c r="FW111" s="54"/>
      <c r="FX111" s="54"/>
      <c r="FY111" s="54"/>
      <c r="FZ111" s="54"/>
      <c r="GA111" s="54"/>
      <c r="GB111" s="54"/>
      <c r="GC111" s="54"/>
      <c r="GD111" s="54"/>
      <c r="GE111" s="54"/>
      <c r="GF111" s="54"/>
      <c r="GG111" s="54"/>
      <c r="GH111" s="54"/>
      <c r="GI111" s="54"/>
      <c r="GJ111" s="54"/>
      <c r="GK111" s="54"/>
      <c r="GL111" s="54"/>
      <c r="GM111" s="54"/>
      <c r="GN111" s="54"/>
      <c r="GO111" s="54"/>
      <c r="GP111" s="54"/>
    </row>
    <row r="112" spans="3:198" ht="15" customHeight="1" x14ac:dyDescent="0.25">
      <c r="F112" s="124"/>
      <c r="G112" s="19"/>
      <c r="I112" s="1001" t="s">
        <v>421</v>
      </c>
      <c r="J112" s="1001"/>
      <c r="K112" s="1001"/>
      <c r="L112" s="1001"/>
      <c r="M112" s="1001"/>
      <c r="N112" s="1001" t="s">
        <v>637</v>
      </c>
      <c r="O112" s="1001"/>
      <c r="P112" s="1001"/>
      <c r="Q112" s="1001"/>
      <c r="R112" s="1001"/>
      <c r="S112" s="1001"/>
      <c r="T112" s="1001"/>
      <c r="U112" s="1001" t="s">
        <v>604</v>
      </c>
      <c r="V112" s="1001"/>
      <c r="W112" s="1001"/>
      <c r="X112" s="1001"/>
      <c r="Y112" s="1001"/>
      <c r="AF112" s="190"/>
      <c r="AI112" s="1001" t="s">
        <v>421</v>
      </c>
      <c r="AJ112" s="1001"/>
      <c r="AK112" s="1001"/>
      <c r="AL112" s="1001"/>
      <c r="AM112" s="1001"/>
      <c r="AN112" s="1001" t="s">
        <v>636</v>
      </c>
      <c r="AO112" s="1001"/>
      <c r="AP112" s="1001"/>
      <c r="AQ112" s="1001"/>
      <c r="AR112" s="1001"/>
      <c r="AS112" s="1001"/>
      <c r="AT112" s="1001"/>
      <c r="BB112" s="636"/>
      <c r="DF112" s="124"/>
      <c r="DJ112" s="57"/>
      <c r="DK112" s="1001" t="str">
        <f t="shared" ref="DK112:DK122" si="17">AI112</f>
        <v>Secteurs SCIAN</v>
      </c>
      <c r="DL112" s="1001"/>
      <c r="DM112" s="1001"/>
      <c r="DN112" s="1001"/>
      <c r="DO112" s="1001"/>
      <c r="DQ112" s="1001" t="s">
        <v>486</v>
      </c>
      <c r="DR112" s="1001"/>
      <c r="DS112" s="1001"/>
      <c r="DT112" s="1001"/>
      <c r="DU112" s="1001"/>
      <c r="DV112" s="27"/>
      <c r="DX112" s="57"/>
      <c r="DZ112" s="699" t="s">
        <v>491</v>
      </c>
      <c r="EA112" s="699"/>
      <c r="EB112" s="699"/>
      <c r="EC112" s="699"/>
      <c r="ED112" s="699"/>
      <c r="EE112" s="699"/>
      <c r="EF112" s="699"/>
      <c r="EG112" s="699"/>
      <c r="EH112" s="699"/>
      <c r="EI112" s="699"/>
      <c r="EJ112" s="699"/>
      <c r="EK112" s="699"/>
      <c r="EL112" s="699"/>
      <c r="EM112" s="699"/>
      <c r="EN112" s="1115"/>
      <c r="FW112" s="54"/>
      <c r="FX112" s="54"/>
      <c r="FY112" s="54"/>
      <c r="FZ112" s="54"/>
      <c r="GA112" s="54"/>
      <c r="GB112" s="54"/>
      <c r="GC112" s="54"/>
      <c r="GD112" s="54"/>
      <c r="GE112" s="54"/>
      <c r="GF112" s="54"/>
      <c r="GG112" s="54"/>
      <c r="GH112" s="54"/>
      <c r="GI112" s="54"/>
      <c r="GJ112" s="54"/>
      <c r="GK112" s="54"/>
      <c r="GL112" s="54"/>
      <c r="GM112" s="54"/>
      <c r="GN112" s="54"/>
      <c r="GO112" s="54"/>
      <c r="GP112" s="54"/>
    </row>
    <row r="113" spans="4:144" ht="15" customHeight="1" thickBot="1" x14ac:dyDescent="0.3">
      <c r="F113" s="124"/>
      <c r="I113" s="1034">
        <v>3111</v>
      </c>
      <c r="J113" s="1034"/>
      <c r="K113" s="1034"/>
      <c r="L113" s="1034"/>
      <c r="M113" s="1034"/>
      <c r="N113" s="62"/>
      <c r="O113" s="1040"/>
      <c r="P113" s="1040"/>
      <c r="Q113" s="1040"/>
      <c r="R113" s="1040"/>
      <c r="S113" s="1040"/>
      <c r="T113" s="62"/>
      <c r="U113" s="1093"/>
      <c r="V113" s="1093"/>
      <c r="W113" s="1093"/>
      <c r="X113" s="1093"/>
      <c r="Y113" s="1093"/>
      <c r="AA113" s="934" t="str">
        <f>IF(OR(AND(U113&gt;0,O113=0),,AND(U114&gt;0,O114=0),AND(U115&gt;0,O115=0),AND(U116&gt;0,O116=0),AND(U117&gt;0,O117=0),AND(U118&gt;0,O118=0),AND(U119&gt;0,O119=0),AND(U120&gt;0,O120=0),AND(U121&gt;0,O121=0),AND(U122&gt;0,O122=0)),"Attention, vous avez indiqué un tonnage pour un secteur sans employé.","")</f>
        <v/>
      </c>
      <c r="AB113" s="934"/>
      <c r="AC113" s="934"/>
      <c r="AD113" s="934"/>
      <c r="AF113" s="190"/>
      <c r="AI113" s="1034">
        <f t="shared" ref="AI113:AI122" si="18">I113</f>
        <v>3111</v>
      </c>
      <c r="AJ113" s="1034"/>
      <c r="AK113" s="1034"/>
      <c r="AL113" s="1034"/>
      <c r="AM113" s="1034"/>
      <c r="AN113" s="62"/>
      <c r="AO113" s="1040"/>
      <c r="AP113" s="1040"/>
      <c r="AQ113" s="1040"/>
      <c r="AR113" s="1040"/>
      <c r="AS113" s="1040"/>
      <c r="AU113" s="653"/>
      <c r="AV113" s="653"/>
      <c r="AW113" s="653"/>
      <c r="AX113" s="653"/>
      <c r="AY113" s="653"/>
      <c r="AZ113" s="653"/>
      <c r="BA113" s="653"/>
      <c r="BB113" s="654"/>
      <c r="BC113" s="492"/>
      <c r="DF113" s="124"/>
      <c r="DJ113" s="57"/>
      <c r="DK113" s="1034">
        <f t="shared" si="17"/>
        <v>3111</v>
      </c>
      <c r="DL113" s="1034"/>
      <c r="DM113" s="1034"/>
      <c r="DN113" s="1034"/>
      <c r="DO113" s="1034"/>
      <c r="DP113" s="62"/>
      <c r="DQ113" s="1035">
        <f t="shared" ref="DQ113:DQ122" si="19">IF(O113=0,0,U113/O113)</f>
        <v>0</v>
      </c>
      <c r="DR113" s="1035"/>
      <c r="DS113" s="1035"/>
      <c r="DT113" s="1035"/>
      <c r="DU113" s="1035"/>
      <c r="DV113" s="27"/>
      <c r="DX113" s="57"/>
      <c r="EN113" s="27"/>
    </row>
    <row r="114" spans="4:144" ht="15" customHeight="1" x14ac:dyDescent="0.25">
      <c r="F114" s="124"/>
      <c r="I114" s="1034">
        <v>3112</v>
      </c>
      <c r="J114" s="1034"/>
      <c r="K114" s="1034"/>
      <c r="L114" s="1034"/>
      <c r="M114" s="1034"/>
      <c r="N114" s="64"/>
      <c r="O114" s="1030"/>
      <c r="P114" s="1030"/>
      <c r="Q114" s="1030"/>
      <c r="R114" s="1030"/>
      <c r="S114" s="1030"/>
      <c r="T114" s="64"/>
      <c r="U114" s="1032"/>
      <c r="V114" s="1032"/>
      <c r="W114" s="1032"/>
      <c r="X114" s="1032"/>
      <c r="Y114" s="1032"/>
      <c r="AA114" s="934"/>
      <c r="AB114" s="934"/>
      <c r="AC114" s="934"/>
      <c r="AD114" s="934"/>
      <c r="AF114" s="190"/>
      <c r="AI114" s="1034">
        <f t="shared" si="18"/>
        <v>3112</v>
      </c>
      <c r="AJ114" s="1034"/>
      <c r="AK114" s="1034"/>
      <c r="AL114" s="1034"/>
      <c r="AM114" s="1034"/>
      <c r="AN114" s="64"/>
      <c r="AO114" s="1030"/>
      <c r="AP114" s="1030"/>
      <c r="AQ114" s="1030"/>
      <c r="AR114" s="1030"/>
      <c r="AS114" s="1030"/>
      <c r="AU114" s="653"/>
      <c r="AV114" s="653"/>
      <c r="AW114" s="653"/>
      <c r="AX114" s="653"/>
      <c r="AY114" s="653"/>
      <c r="AZ114" s="653"/>
      <c r="BA114" s="653"/>
      <c r="BB114" s="654"/>
      <c r="BC114" s="492"/>
      <c r="DF114" s="124"/>
      <c r="DJ114" s="57"/>
      <c r="DK114" s="1034">
        <f t="shared" si="17"/>
        <v>3112</v>
      </c>
      <c r="DL114" s="1034"/>
      <c r="DM114" s="1034"/>
      <c r="DN114" s="1034"/>
      <c r="DO114" s="1034"/>
      <c r="DP114" s="64"/>
      <c r="DQ114" s="1035">
        <f t="shared" si="19"/>
        <v>0</v>
      </c>
      <c r="DR114" s="1035"/>
      <c r="DS114" s="1035"/>
      <c r="DT114" s="1035"/>
      <c r="DU114" s="1035"/>
      <c r="DV114" s="27"/>
      <c r="DX114" s="106"/>
      <c r="DY114" s="107"/>
      <c r="DZ114" s="107"/>
      <c r="EA114" s="773" t="s">
        <v>496</v>
      </c>
      <c r="EB114" s="773"/>
      <c r="EC114" s="773"/>
      <c r="ED114" s="773"/>
      <c r="EE114" s="773"/>
      <c r="EF114" s="773"/>
      <c r="EG114" s="773"/>
      <c r="EH114" s="773"/>
      <c r="EI114" s="773"/>
      <c r="EJ114" s="773"/>
      <c r="EK114" s="773"/>
      <c r="EL114" s="773"/>
      <c r="EM114" s="107"/>
      <c r="EN114" s="108"/>
    </row>
    <row r="115" spans="4:144" ht="15" customHeight="1" x14ac:dyDescent="0.25">
      <c r="F115" s="124"/>
      <c r="I115" s="1034">
        <v>3113</v>
      </c>
      <c r="J115" s="1034"/>
      <c r="K115" s="1034"/>
      <c r="L115" s="1034"/>
      <c r="M115" s="1034"/>
      <c r="N115" s="64"/>
      <c r="O115" s="1030"/>
      <c r="P115" s="1030"/>
      <c r="Q115" s="1030"/>
      <c r="R115" s="1030"/>
      <c r="S115" s="1030"/>
      <c r="T115" s="64"/>
      <c r="U115" s="1032"/>
      <c r="V115" s="1032"/>
      <c r="W115" s="1032"/>
      <c r="X115" s="1032"/>
      <c r="Y115" s="1032"/>
      <c r="AA115" s="934"/>
      <c r="AB115" s="934"/>
      <c r="AC115" s="934"/>
      <c r="AD115" s="934"/>
      <c r="AF115" s="190"/>
      <c r="AI115" s="1034">
        <f t="shared" si="18"/>
        <v>3113</v>
      </c>
      <c r="AJ115" s="1034"/>
      <c r="AK115" s="1034"/>
      <c r="AL115" s="1034"/>
      <c r="AM115" s="1034"/>
      <c r="AN115" s="64"/>
      <c r="AO115" s="1030"/>
      <c r="AP115" s="1030"/>
      <c r="AQ115" s="1030"/>
      <c r="AR115" s="1030"/>
      <c r="AS115" s="1030"/>
      <c r="AU115" s="653"/>
      <c r="AV115" s="653"/>
      <c r="AW115" s="653"/>
      <c r="AX115" s="653"/>
      <c r="AY115" s="653"/>
      <c r="AZ115" s="653"/>
      <c r="BA115" s="653"/>
      <c r="BB115" s="654"/>
      <c r="BC115" s="492"/>
      <c r="DF115" s="124"/>
      <c r="DJ115" s="57"/>
      <c r="DK115" s="1034">
        <f t="shared" si="17"/>
        <v>3113</v>
      </c>
      <c r="DL115" s="1034"/>
      <c r="DM115" s="1034"/>
      <c r="DN115" s="1034"/>
      <c r="DO115" s="1034"/>
      <c r="DP115" s="64"/>
      <c r="DQ115" s="1035">
        <f t="shared" si="19"/>
        <v>0</v>
      </c>
      <c r="DR115" s="1035"/>
      <c r="DS115" s="1035"/>
      <c r="DT115" s="1035"/>
      <c r="DU115" s="1035"/>
      <c r="DV115" s="27"/>
      <c r="DX115" s="57"/>
      <c r="EN115" s="27"/>
    </row>
    <row r="116" spans="4:144" ht="15" customHeight="1" x14ac:dyDescent="0.25">
      <c r="F116" s="124"/>
      <c r="I116" s="1034">
        <v>3114</v>
      </c>
      <c r="J116" s="1034"/>
      <c r="K116" s="1034"/>
      <c r="L116" s="1034"/>
      <c r="M116" s="1034"/>
      <c r="N116" s="64"/>
      <c r="O116" s="1030"/>
      <c r="P116" s="1030"/>
      <c r="Q116" s="1030"/>
      <c r="R116" s="1030"/>
      <c r="S116" s="1030"/>
      <c r="T116" s="64"/>
      <c r="U116" s="1032"/>
      <c r="V116" s="1032"/>
      <c r="W116" s="1032"/>
      <c r="X116" s="1032"/>
      <c r="Y116" s="1032"/>
      <c r="AA116" s="934"/>
      <c r="AB116" s="934"/>
      <c r="AC116" s="934"/>
      <c r="AD116" s="934"/>
      <c r="AF116" s="190"/>
      <c r="AI116" s="1034">
        <f t="shared" si="18"/>
        <v>3114</v>
      </c>
      <c r="AJ116" s="1034"/>
      <c r="AK116" s="1034"/>
      <c r="AL116" s="1034"/>
      <c r="AM116" s="1034"/>
      <c r="AN116" s="64"/>
      <c r="AO116" s="1030"/>
      <c r="AP116" s="1030"/>
      <c r="AQ116" s="1030"/>
      <c r="AR116" s="1030"/>
      <c r="AS116" s="1030"/>
      <c r="AU116" s="653"/>
      <c r="AV116" s="653"/>
      <c r="AW116" s="653"/>
      <c r="AX116" s="653"/>
      <c r="AY116" s="653"/>
      <c r="AZ116" s="653"/>
      <c r="BA116" s="653"/>
      <c r="BB116" s="654"/>
      <c r="BC116" s="492"/>
      <c r="DF116" s="124"/>
      <c r="DJ116" s="57"/>
      <c r="DK116" s="1034">
        <f t="shared" si="17"/>
        <v>3114</v>
      </c>
      <c r="DL116" s="1034"/>
      <c r="DM116" s="1034"/>
      <c r="DN116" s="1034"/>
      <c r="DO116" s="1034"/>
      <c r="DP116" s="64"/>
      <c r="DQ116" s="1035">
        <f t="shared" si="19"/>
        <v>0</v>
      </c>
      <c r="DR116" s="1035"/>
      <c r="DS116" s="1035"/>
      <c r="DT116" s="1035"/>
      <c r="DU116" s="1035"/>
      <c r="DV116" s="27"/>
      <c r="DX116" s="57"/>
      <c r="EA116" s="1001" t="s">
        <v>285</v>
      </c>
      <c r="EB116" s="1001"/>
      <c r="EC116" s="1001"/>
      <c r="ED116" s="1001"/>
      <c r="EF116" s="1001" t="s">
        <v>286</v>
      </c>
      <c r="EG116" s="1001"/>
      <c r="EH116" s="1001"/>
      <c r="EI116" s="1001"/>
      <c r="EK116" s="1001" t="s">
        <v>287</v>
      </c>
      <c r="EL116" s="1001"/>
      <c r="EM116" s="1001"/>
      <c r="EN116" s="1111"/>
    </row>
    <row r="117" spans="4:144" ht="15" customHeight="1" x14ac:dyDescent="0.25">
      <c r="D117" s="187"/>
      <c r="F117" s="124"/>
      <c r="I117" s="1034">
        <v>3115</v>
      </c>
      <c r="J117" s="1034"/>
      <c r="K117" s="1034"/>
      <c r="L117" s="1034"/>
      <c r="M117" s="1034"/>
      <c r="N117" s="64"/>
      <c r="O117" s="1030"/>
      <c r="P117" s="1030"/>
      <c r="Q117" s="1030"/>
      <c r="R117" s="1030"/>
      <c r="S117" s="1030"/>
      <c r="T117" s="64"/>
      <c r="U117" s="1032"/>
      <c r="V117" s="1032"/>
      <c r="W117" s="1032"/>
      <c r="X117" s="1032"/>
      <c r="Y117" s="1032"/>
      <c r="AA117" s="934"/>
      <c r="AB117" s="934"/>
      <c r="AC117" s="934"/>
      <c r="AD117" s="934"/>
      <c r="AF117" s="190"/>
      <c r="AI117" s="1034">
        <f t="shared" si="18"/>
        <v>3115</v>
      </c>
      <c r="AJ117" s="1034"/>
      <c r="AK117" s="1034"/>
      <c r="AL117" s="1034"/>
      <c r="AM117" s="1034"/>
      <c r="AN117" s="64"/>
      <c r="AO117" s="1030"/>
      <c r="AP117" s="1030"/>
      <c r="AQ117" s="1030"/>
      <c r="AR117" s="1030"/>
      <c r="AS117" s="1030"/>
      <c r="AU117" s="653"/>
      <c r="AV117" s="653"/>
      <c r="AW117" s="653"/>
      <c r="AX117" s="653"/>
      <c r="AY117" s="653"/>
      <c r="AZ117" s="653"/>
      <c r="BA117" s="653"/>
      <c r="BB117" s="654"/>
      <c r="BC117" s="492"/>
      <c r="DF117" s="124"/>
      <c r="DJ117" s="57"/>
      <c r="DK117" s="1034">
        <f t="shared" si="17"/>
        <v>3115</v>
      </c>
      <c r="DL117" s="1034"/>
      <c r="DM117" s="1034"/>
      <c r="DN117" s="1034"/>
      <c r="DO117" s="1034"/>
      <c r="DP117" s="64"/>
      <c r="DQ117" s="1035">
        <f t="shared" si="19"/>
        <v>0</v>
      </c>
      <c r="DR117" s="1035"/>
      <c r="DS117" s="1035"/>
      <c r="DT117" s="1035"/>
      <c r="DU117" s="1035"/>
      <c r="DV117" s="27"/>
      <c r="DX117" s="1006" t="s">
        <v>492</v>
      </c>
      <c r="DY117" s="699"/>
      <c r="EA117" s="1112" t="str">
        <f>IF(OR(EK117=N.D., EF117=N.D.),N.D.,SUM(EK117,-EF117))</f>
        <v>N.D.</v>
      </c>
      <c r="EB117" s="990"/>
      <c r="EC117" s="990"/>
      <c r="ED117" s="990"/>
      <c r="EF117" s="1112" t="str">
        <f>U147</f>
        <v>N.D.</v>
      </c>
      <c r="EG117" s="1112"/>
      <c r="EH117" s="1112"/>
      <c r="EI117" s="1112"/>
      <c r="EK117" s="1112" t="str">
        <f>U145</f>
        <v>N.D.</v>
      </c>
      <c r="EL117" s="990"/>
      <c r="EM117" s="990"/>
      <c r="EN117" s="1113"/>
    </row>
    <row r="118" spans="4:144" ht="15" customHeight="1" thickBot="1" x14ac:dyDescent="0.3">
      <c r="F118" s="124"/>
      <c r="I118" s="1034">
        <v>3116</v>
      </c>
      <c r="J118" s="1034"/>
      <c r="K118" s="1034"/>
      <c r="L118" s="1034"/>
      <c r="M118" s="1034"/>
      <c r="N118" s="64"/>
      <c r="O118" s="1030"/>
      <c r="P118" s="1030"/>
      <c r="Q118" s="1030"/>
      <c r="R118" s="1030"/>
      <c r="S118" s="1030"/>
      <c r="T118" s="64"/>
      <c r="U118" s="1032"/>
      <c r="V118" s="1032"/>
      <c r="W118" s="1032"/>
      <c r="X118" s="1032"/>
      <c r="Y118" s="1032"/>
      <c r="AA118" s="934"/>
      <c r="AB118" s="934"/>
      <c r="AC118" s="934"/>
      <c r="AD118" s="934"/>
      <c r="AF118" s="190"/>
      <c r="AI118" s="1034">
        <f t="shared" si="18"/>
        <v>3116</v>
      </c>
      <c r="AJ118" s="1034"/>
      <c r="AK118" s="1034"/>
      <c r="AL118" s="1034"/>
      <c r="AM118" s="1034"/>
      <c r="AN118" s="64"/>
      <c r="AO118" s="1030"/>
      <c r="AP118" s="1030"/>
      <c r="AQ118" s="1030"/>
      <c r="AR118" s="1030"/>
      <c r="AS118" s="1030"/>
      <c r="AU118" s="653"/>
      <c r="AV118" s="653"/>
      <c r="AW118" s="653"/>
      <c r="AX118" s="653"/>
      <c r="AY118" s="653"/>
      <c r="AZ118" s="653"/>
      <c r="BA118" s="653"/>
      <c r="BB118" s="654"/>
      <c r="BC118" s="492"/>
      <c r="DF118" s="124"/>
      <c r="DJ118" s="57"/>
      <c r="DK118" s="1034">
        <f t="shared" si="17"/>
        <v>3116</v>
      </c>
      <c r="DL118" s="1034"/>
      <c r="DM118" s="1034"/>
      <c r="DN118" s="1034"/>
      <c r="DO118" s="1034"/>
      <c r="DP118" s="64"/>
      <c r="DQ118" s="1035">
        <f t="shared" si="19"/>
        <v>0</v>
      </c>
      <c r="DR118" s="1035"/>
      <c r="DS118" s="1035"/>
      <c r="DT118" s="1035"/>
      <c r="DU118" s="1035"/>
      <c r="DV118" s="27"/>
      <c r="DX118" s="58"/>
      <c r="DY118" s="34"/>
      <c r="DZ118" s="34"/>
      <c r="EA118" s="34"/>
      <c r="EB118" s="34"/>
      <c r="EC118" s="34"/>
      <c r="ED118" s="34"/>
      <c r="EE118" s="34"/>
      <c r="EF118" s="34"/>
      <c r="EG118" s="34"/>
      <c r="EH118" s="34"/>
      <c r="EI118" s="34"/>
      <c r="EJ118" s="34"/>
      <c r="EK118" s="34"/>
      <c r="EL118" s="34"/>
      <c r="EM118" s="34"/>
      <c r="EN118" s="35"/>
    </row>
    <row r="119" spans="4:144" ht="15" customHeight="1" x14ac:dyDescent="0.25">
      <c r="F119" s="124"/>
      <c r="I119" s="1034">
        <v>3117</v>
      </c>
      <c r="J119" s="1034"/>
      <c r="K119" s="1034"/>
      <c r="L119" s="1034"/>
      <c r="M119" s="1034"/>
      <c r="N119" s="64"/>
      <c r="O119" s="1030"/>
      <c r="P119" s="1030"/>
      <c r="Q119" s="1030"/>
      <c r="R119" s="1030"/>
      <c r="S119" s="1030"/>
      <c r="T119" s="64"/>
      <c r="U119" s="1032"/>
      <c r="V119" s="1032"/>
      <c r="W119" s="1032"/>
      <c r="X119" s="1032"/>
      <c r="Y119" s="1032"/>
      <c r="AA119" s="934"/>
      <c r="AB119" s="934"/>
      <c r="AC119" s="934"/>
      <c r="AD119" s="934"/>
      <c r="AF119" s="190"/>
      <c r="AI119" s="1034">
        <f t="shared" si="18"/>
        <v>3117</v>
      </c>
      <c r="AJ119" s="1034"/>
      <c r="AK119" s="1034"/>
      <c r="AL119" s="1034"/>
      <c r="AM119" s="1034"/>
      <c r="AN119" s="64"/>
      <c r="AO119" s="1030"/>
      <c r="AP119" s="1030"/>
      <c r="AQ119" s="1030"/>
      <c r="AR119" s="1030"/>
      <c r="AS119" s="1030"/>
      <c r="AU119" s="653"/>
      <c r="AV119" s="653"/>
      <c r="AW119" s="653"/>
      <c r="AX119" s="653"/>
      <c r="AY119" s="653"/>
      <c r="AZ119" s="653"/>
      <c r="BA119" s="653"/>
      <c r="BB119" s="654"/>
      <c r="BC119" s="492"/>
      <c r="DF119" s="124"/>
      <c r="DJ119" s="57"/>
      <c r="DK119" s="1034">
        <f t="shared" si="17"/>
        <v>3117</v>
      </c>
      <c r="DL119" s="1034"/>
      <c r="DM119" s="1034"/>
      <c r="DN119" s="1034"/>
      <c r="DO119" s="1034"/>
      <c r="DP119" s="64"/>
      <c r="DQ119" s="1035">
        <f t="shared" si="19"/>
        <v>0</v>
      </c>
      <c r="DR119" s="1035"/>
      <c r="DS119" s="1035"/>
      <c r="DT119" s="1035"/>
      <c r="DU119" s="1035"/>
      <c r="DV119" s="27"/>
      <c r="DX119" s="106"/>
      <c r="DY119" s="107"/>
      <c r="DZ119" s="107"/>
      <c r="EA119" s="773" t="s">
        <v>493</v>
      </c>
      <c r="EB119" s="773"/>
      <c r="EC119" s="773"/>
      <c r="ED119" s="773"/>
      <c r="EE119" s="773"/>
      <c r="EF119" s="773"/>
      <c r="EG119" s="773"/>
      <c r="EH119" s="773"/>
      <c r="EI119" s="773"/>
      <c r="EJ119" s="773"/>
      <c r="EK119" s="773"/>
      <c r="EL119" s="773"/>
      <c r="EM119" s="107"/>
      <c r="EN119" s="108"/>
    </row>
    <row r="120" spans="4:144" ht="15" customHeight="1" x14ac:dyDescent="0.25">
      <c r="D120" s="144"/>
      <c r="F120" s="124"/>
      <c r="I120" s="1034">
        <v>3118</v>
      </c>
      <c r="J120" s="1034"/>
      <c r="K120" s="1034"/>
      <c r="L120" s="1034"/>
      <c r="M120" s="1034"/>
      <c r="N120" s="64"/>
      <c r="O120" s="1030"/>
      <c r="P120" s="1030"/>
      <c r="Q120" s="1030"/>
      <c r="R120" s="1030"/>
      <c r="S120" s="1030"/>
      <c r="T120" s="64"/>
      <c r="U120" s="1032"/>
      <c r="V120" s="1032"/>
      <c r="W120" s="1032"/>
      <c r="X120" s="1032"/>
      <c r="Y120" s="1032"/>
      <c r="AA120" s="934"/>
      <c r="AB120" s="934"/>
      <c r="AC120" s="934"/>
      <c r="AD120" s="934"/>
      <c r="AF120" s="190"/>
      <c r="AI120" s="1034">
        <f t="shared" si="18"/>
        <v>3118</v>
      </c>
      <c r="AJ120" s="1034"/>
      <c r="AK120" s="1034"/>
      <c r="AL120" s="1034"/>
      <c r="AM120" s="1034"/>
      <c r="AN120" s="64"/>
      <c r="AO120" s="1030"/>
      <c r="AP120" s="1030"/>
      <c r="AQ120" s="1030"/>
      <c r="AR120" s="1030"/>
      <c r="AS120" s="1030"/>
      <c r="AU120" s="653"/>
      <c r="AV120" s="653"/>
      <c r="AW120" s="653"/>
      <c r="AX120" s="653"/>
      <c r="AY120" s="653"/>
      <c r="AZ120" s="653"/>
      <c r="BA120" s="653"/>
      <c r="BB120" s="654"/>
      <c r="BC120" s="492"/>
      <c r="DF120" s="124"/>
      <c r="DJ120" s="57"/>
      <c r="DK120" s="1034">
        <f t="shared" si="17"/>
        <v>3118</v>
      </c>
      <c r="DL120" s="1034"/>
      <c r="DM120" s="1034"/>
      <c r="DN120" s="1034"/>
      <c r="DO120" s="1034"/>
      <c r="DP120" s="64"/>
      <c r="DQ120" s="1035">
        <f t="shared" si="19"/>
        <v>0</v>
      </c>
      <c r="DR120" s="1035"/>
      <c r="DS120" s="1035"/>
      <c r="DT120" s="1035"/>
      <c r="DU120" s="1035"/>
      <c r="DV120" s="27"/>
      <c r="DX120" s="57"/>
      <c r="EN120" s="27"/>
    </row>
    <row r="121" spans="4:144" ht="15" customHeight="1" x14ac:dyDescent="0.25">
      <c r="F121" s="124"/>
      <c r="I121" s="1034">
        <v>3119</v>
      </c>
      <c r="J121" s="1034"/>
      <c r="K121" s="1034"/>
      <c r="L121" s="1034"/>
      <c r="M121" s="1034"/>
      <c r="N121" s="64"/>
      <c r="O121" s="1030"/>
      <c r="P121" s="1030"/>
      <c r="Q121" s="1030"/>
      <c r="R121" s="1030"/>
      <c r="S121" s="1030"/>
      <c r="T121" s="64"/>
      <c r="U121" s="1032"/>
      <c r="V121" s="1032"/>
      <c r="W121" s="1032"/>
      <c r="X121" s="1032"/>
      <c r="Y121" s="1032"/>
      <c r="AA121" s="934"/>
      <c r="AB121" s="934"/>
      <c r="AC121" s="934"/>
      <c r="AD121" s="934"/>
      <c r="AF121" s="190"/>
      <c r="AI121" s="1034">
        <f t="shared" si="18"/>
        <v>3119</v>
      </c>
      <c r="AJ121" s="1034"/>
      <c r="AK121" s="1034"/>
      <c r="AL121" s="1034"/>
      <c r="AM121" s="1034"/>
      <c r="AN121" s="64"/>
      <c r="AO121" s="1030"/>
      <c r="AP121" s="1030"/>
      <c r="AQ121" s="1030"/>
      <c r="AR121" s="1030"/>
      <c r="AS121" s="1030"/>
      <c r="AU121" s="653"/>
      <c r="AV121" s="653"/>
      <c r="AW121" s="653"/>
      <c r="AX121" s="653"/>
      <c r="AY121" s="653"/>
      <c r="AZ121" s="653"/>
      <c r="BA121" s="653"/>
      <c r="BB121" s="654"/>
      <c r="BC121" s="492"/>
      <c r="DF121" s="124"/>
      <c r="DJ121" s="57"/>
      <c r="DK121" s="1034">
        <f t="shared" si="17"/>
        <v>3119</v>
      </c>
      <c r="DL121" s="1034"/>
      <c r="DM121" s="1034"/>
      <c r="DN121" s="1034"/>
      <c r="DO121" s="1034"/>
      <c r="DP121" s="64"/>
      <c r="DQ121" s="1035">
        <f t="shared" si="19"/>
        <v>0</v>
      </c>
      <c r="DR121" s="1035"/>
      <c r="DS121" s="1035"/>
      <c r="DT121" s="1035"/>
      <c r="DU121" s="1035"/>
      <c r="DV121" s="27"/>
      <c r="DX121" s="57"/>
      <c r="EA121" s="1001" t="s">
        <v>285</v>
      </c>
      <c r="EB121" s="1001"/>
      <c r="EC121" s="1001"/>
      <c r="ED121" s="1001"/>
      <c r="EF121" s="1001" t="s">
        <v>286</v>
      </c>
      <c r="EG121" s="1001"/>
      <c r="EH121" s="1001"/>
      <c r="EI121" s="1001"/>
      <c r="EK121" s="1001" t="s">
        <v>287</v>
      </c>
      <c r="EL121" s="1001"/>
      <c r="EM121" s="1001"/>
      <c r="EN121" s="1111"/>
    </row>
    <row r="122" spans="4:144" ht="15" customHeight="1" x14ac:dyDescent="0.25">
      <c r="F122" s="124"/>
      <c r="I122" s="1034">
        <v>312</v>
      </c>
      <c r="J122" s="1034"/>
      <c r="K122" s="1034"/>
      <c r="L122" s="1034"/>
      <c r="M122" s="1034"/>
      <c r="N122" s="64"/>
      <c r="O122" s="1030"/>
      <c r="P122" s="1030"/>
      <c r="Q122" s="1030"/>
      <c r="R122" s="1030"/>
      <c r="S122" s="1030"/>
      <c r="T122" s="64"/>
      <c r="U122" s="1032"/>
      <c r="V122" s="1032"/>
      <c r="W122" s="1032"/>
      <c r="X122" s="1032"/>
      <c r="Y122" s="1032"/>
      <c r="AA122" s="934"/>
      <c r="AB122" s="934"/>
      <c r="AC122" s="934"/>
      <c r="AD122" s="934"/>
      <c r="AF122" s="190"/>
      <c r="AI122" s="1034">
        <f t="shared" si="18"/>
        <v>312</v>
      </c>
      <c r="AJ122" s="1034"/>
      <c r="AK122" s="1034"/>
      <c r="AL122" s="1034"/>
      <c r="AM122" s="1034"/>
      <c r="AN122" s="64"/>
      <c r="AO122" s="1030"/>
      <c r="AP122" s="1030"/>
      <c r="AQ122" s="1030"/>
      <c r="AR122" s="1030"/>
      <c r="AS122" s="1030"/>
      <c r="AU122" s="653"/>
      <c r="AV122" s="653"/>
      <c r="AW122" s="653"/>
      <c r="AX122" s="653"/>
      <c r="AY122" s="653"/>
      <c r="AZ122" s="653"/>
      <c r="BA122" s="653"/>
      <c r="BB122" s="654"/>
      <c r="DF122" s="124"/>
      <c r="DJ122" s="57"/>
      <c r="DK122" s="1034">
        <f t="shared" si="17"/>
        <v>312</v>
      </c>
      <c r="DL122" s="1034"/>
      <c r="DM122" s="1034"/>
      <c r="DN122" s="1034"/>
      <c r="DO122" s="1034"/>
      <c r="DP122" s="64"/>
      <c r="DQ122" s="1035">
        <f t="shared" si="19"/>
        <v>0</v>
      </c>
      <c r="DR122" s="1035"/>
      <c r="DS122" s="1035"/>
      <c r="DT122" s="1035"/>
      <c r="DU122" s="1035"/>
      <c r="DV122" s="27"/>
      <c r="DX122" s="1006" t="s">
        <v>492</v>
      </c>
      <c r="DY122" s="699"/>
      <c r="EA122" s="1112">
        <f>SUM(EK122,-EF122)</f>
        <v>0</v>
      </c>
      <c r="EB122" s="990"/>
      <c r="EC122" s="990"/>
      <c r="ED122" s="990"/>
      <c r="EF122" s="1112">
        <f>AW145</f>
        <v>0</v>
      </c>
      <c r="EG122" s="1112"/>
      <c r="EH122" s="1112"/>
      <c r="EI122" s="1112"/>
      <c r="EK122" s="1112" t="str">
        <f>AN145</f>
        <v/>
      </c>
      <c r="EL122" s="990"/>
      <c r="EM122" s="990"/>
      <c r="EN122" s="1113"/>
    </row>
    <row r="123" spans="4:144" ht="5.25" customHeight="1" x14ac:dyDescent="0.25">
      <c r="F123" s="124"/>
      <c r="O123" s="303"/>
      <c r="P123" s="303"/>
      <c r="Q123" s="303"/>
      <c r="R123" s="303"/>
      <c r="S123" s="303"/>
      <c r="AF123" s="190"/>
      <c r="AO123" s="312"/>
      <c r="AP123" s="312"/>
      <c r="AQ123" s="312"/>
      <c r="AR123" s="312"/>
      <c r="AS123" s="312"/>
      <c r="BB123" s="636"/>
      <c r="DF123" s="124"/>
      <c r="DJ123" s="57"/>
      <c r="DV123" s="27"/>
      <c r="DX123" s="57"/>
      <c r="EN123" s="27"/>
    </row>
    <row r="124" spans="4:144" ht="15" customHeight="1" thickBot="1" x14ac:dyDescent="0.3">
      <c r="F124" s="124"/>
      <c r="I124" s="1026" t="s">
        <v>276</v>
      </c>
      <c r="J124" s="1026"/>
      <c r="K124" s="1026"/>
      <c r="L124" s="1026"/>
      <c r="M124" s="1026"/>
      <c r="N124" s="130"/>
      <c r="O124" s="1099" t="str">
        <f>IF(COUNTA(O113:O122)=0,"",IF(COUNTBLANK(O113:O122)&gt;0,N.D.,SUM(O113:O122)))</f>
        <v/>
      </c>
      <c r="P124" s="1099"/>
      <c r="Q124" s="1099"/>
      <c r="R124" s="1099"/>
      <c r="S124" s="1099"/>
      <c r="T124" s="130"/>
      <c r="U124" s="1078" t="str">
        <f>IF(COUNTA(U113:U122)=0,"",IF(COUNTBLANK(U113:U122)&gt;0,N.D.,SUM(U113:U122)))</f>
        <v/>
      </c>
      <c r="V124" s="1078"/>
      <c r="W124" s="1078"/>
      <c r="X124" s="1078"/>
      <c r="Y124" s="1078"/>
      <c r="AF124" s="190"/>
      <c r="AI124" s="1026" t="str">
        <f>I124</f>
        <v>Total</v>
      </c>
      <c r="AJ124" s="1026"/>
      <c r="AK124" s="1026"/>
      <c r="AL124" s="1026"/>
      <c r="AM124" s="1026"/>
      <c r="AN124" s="130"/>
      <c r="AO124" s="1099" t="str">
        <f>IF(AND(AW107="oui",COUNTBLANK(AO113:AO122)&gt;0),N.D.,IF(COUNTA(AO113:AS122)=0,"",SUM(AO113:AO122)))</f>
        <v/>
      </c>
      <c r="AP124" s="1099"/>
      <c r="AQ124" s="1099"/>
      <c r="AR124" s="1099"/>
      <c r="AS124" s="1099"/>
      <c r="BB124" s="636"/>
      <c r="DF124" s="124"/>
      <c r="DJ124" s="57"/>
      <c r="DQ124" s="1121" t="s">
        <v>487</v>
      </c>
      <c r="DR124" s="1121"/>
      <c r="DS124" s="1121"/>
      <c r="DT124" s="1121"/>
      <c r="DU124" s="1121"/>
      <c r="DV124" s="27"/>
      <c r="DX124" s="58"/>
      <c r="DY124" s="34"/>
      <c r="DZ124" s="34"/>
      <c r="EA124" s="114"/>
      <c r="EB124" s="114"/>
      <c r="EC124" s="114"/>
      <c r="ED124" s="114"/>
      <c r="EE124" s="114"/>
      <c r="EF124" s="114"/>
      <c r="EG124" s="114"/>
      <c r="EH124" s="114"/>
      <c r="EI124" s="114"/>
      <c r="EJ124" s="114"/>
      <c r="EK124" s="114"/>
      <c r="EL124" s="114"/>
      <c r="EM124" s="34"/>
      <c r="EN124" s="35"/>
    </row>
    <row r="125" spans="4:144" ht="15" customHeight="1" x14ac:dyDescent="0.25">
      <c r="F125" s="124"/>
      <c r="I125" s="115" t="str">
        <f>IF(OR(O124=N.D.,U124=N.D.),N.D.,"")</f>
        <v/>
      </c>
      <c r="J125" s="1036" t="str">
        <f>IF(I125=N.D.,txt_N.D.&amp;J106,"")</f>
        <v/>
      </c>
      <c r="K125" s="1036"/>
      <c r="L125" s="1036"/>
      <c r="M125" s="1036"/>
      <c r="N125" s="1036"/>
      <c r="O125" s="1036"/>
      <c r="P125" s="1036"/>
      <c r="Q125" s="1036"/>
      <c r="R125" s="1036"/>
      <c r="S125" s="1036"/>
      <c r="T125" s="1036"/>
      <c r="U125" s="1036"/>
      <c r="V125" s="1036"/>
      <c r="W125" s="1036"/>
      <c r="X125" s="1036"/>
      <c r="Y125" s="1036"/>
      <c r="Z125" s="938"/>
      <c r="AF125" s="190"/>
      <c r="AI125" s="115" t="str">
        <f>IF(AND(AO124=N.D.,AW107="oui"),N.D.,"")</f>
        <v/>
      </c>
      <c r="AJ125" s="938" t="str">
        <f>IF(AI125=N.D.,txt_N.D.&amp;AG106,"")</f>
        <v/>
      </c>
      <c r="AK125" s="1036"/>
      <c r="AL125" s="1036"/>
      <c r="AM125" s="1036"/>
      <c r="AN125" s="1036"/>
      <c r="AO125" s="1036"/>
      <c r="AP125" s="1036"/>
      <c r="AQ125" s="1036"/>
      <c r="AR125" s="1036"/>
      <c r="AS125" s="1036"/>
      <c r="AT125" s="938"/>
      <c r="AU125" s="938"/>
      <c r="AV125" s="938"/>
      <c r="AW125" s="938"/>
      <c r="AX125" s="938"/>
      <c r="AY125" s="938"/>
      <c r="AZ125" s="938"/>
      <c r="BA125" s="19"/>
      <c r="BB125" s="648"/>
      <c r="BC125" s="19"/>
      <c r="DF125" s="124"/>
      <c r="DJ125" s="57"/>
      <c r="DQ125" s="1122">
        <f>IF(OR(O124="",O124=0),0,R126/O124)</f>
        <v>0</v>
      </c>
      <c r="DR125" s="1122"/>
      <c r="DS125" s="1122"/>
      <c r="DT125" s="1122"/>
      <c r="DU125" s="1122"/>
      <c r="DV125" s="27"/>
    </row>
    <row r="126" spans="4:144" ht="15" customHeight="1" thickBot="1" x14ac:dyDescent="0.3">
      <c r="F126" s="124"/>
      <c r="I126" s="1026" t="s">
        <v>422</v>
      </c>
      <c r="J126" s="1026"/>
      <c r="K126" s="1026"/>
      <c r="L126" s="1026"/>
      <c r="M126" s="1026"/>
      <c r="N126" s="1026"/>
      <c r="O126" s="1026"/>
      <c r="P126" s="1026"/>
      <c r="Q126" s="1026"/>
      <c r="R126" s="1032"/>
      <c r="S126" s="1032"/>
      <c r="T126" s="1032"/>
      <c r="U126" s="1032"/>
      <c r="V126" s="1032"/>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636"/>
      <c r="DF126" s="124"/>
      <c r="DJ126" s="58"/>
      <c r="DK126" s="34"/>
      <c r="DL126" s="34"/>
      <c r="DM126" s="34"/>
      <c r="DN126" s="34"/>
      <c r="DO126" s="34"/>
      <c r="DP126" s="34"/>
      <c r="DQ126" s="34"/>
      <c r="DR126" s="34"/>
      <c r="DS126" s="34"/>
      <c r="DT126" s="34"/>
      <c r="DU126" s="34"/>
      <c r="DV126" s="35"/>
    </row>
    <row r="127" spans="4:144" ht="15" customHeight="1" x14ac:dyDescent="0.25">
      <c r="F127" s="124"/>
      <c r="DF127" s="124"/>
      <c r="DW127" s="26"/>
    </row>
    <row r="128" spans="4:144" ht="15" customHeight="1" x14ac:dyDescent="0.25">
      <c r="F128" s="124"/>
      <c r="DF128" s="124"/>
      <c r="DW128" s="26"/>
    </row>
    <row r="129" spans="1:144" ht="15" customHeight="1" x14ac:dyDescent="0.25">
      <c r="A129" s="5" t="s">
        <v>494</v>
      </c>
      <c r="C129" s="73">
        <v>2</v>
      </c>
      <c r="F129" s="124"/>
      <c r="K129" s="175" t="str">
        <f>CONCATENATE($J$106,C129,".")</f>
        <v>3.2.1.2.</v>
      </c>
      <c r="L129" s="1022" t="str">
        <f>question_outil_utilisateur</f>
        <v>Quelles données souhaitez-vous utiliser dans les résultats ?</v>
      </c>
      <c r="M129" s="1022"/>
      <c r="N129" s="1022"/>
      <c r="O129" s="1022"/>
      <c r="P129" s="1022"/>
      <c r="Q129" s="1022"/>
      <c r="R129" s="1022"/>
      <c r="S129" s="1022"/>
      <c r="T129" s="1022"/>
      <c r="U129" s="1022"/>
      <c r="V129" s="1022"/>
      <c r="W129" s="1022"/>
      <c r="X129" s="1022"/>
      <c r="Y129" s="1022"/>
      <c r="Z129" s="1022"/>
      <c r="AA129" s="1022"/>
      <c r="AB129" s="1022"/>
      <c r="AC129" s="759"/>
      <c r="AD129" s="759"/>
      <c r="AE129" s="759"/>
      <c r="AF129" s="759"/>
      <c r="AG129" s="759"/>
      <c r="AH129" s="759"/>
      <c r="AI129" s="759"/>
      <c r="AJ129" s="759"/>
      <c r="AK129" s="759"/>
      <c r="DF129" s="124"/>
      <c r="DW129" s="26"/>
    </row>
    <row r="130" spans="1:144" ht="15" customHeight="1" x14ac:dyDescent="0.25">
      <c r="F130" s="124"/>
      <c r="DF130" s="124"/>
      <c r="DW130" s="26"/>
    </row>
    <row r="131" spans="1:144" ht="15" customHeight="1" x14ac:dyDescent="0.25">
      <c r="C131" s="73">
        <v>3</v>
      </c>
      <c r="D131" s="73">
        <v>4</v>
      </c>
      <c r="F131" s="124"/>
      <c r="I131" s="19"/>
      <c r="K131" s="175" t="str">
        <f>CONCATENATE($J$106,C131,".")</f>
        <v>3.2.1.3.</v>
      </c>
      <c r="L131" s="1022" t="str">
        <f>txt_outil&amp;IF(ici_donnees_agroalimentaire=menu_utilisateur,donnees_infos,donnees_calculs)</f>
        <v>Données suggérées par l'outil - UTILISÉES DANS LES RÉSULTATS</v>
      </c>
      <c r="M131" s="1022"/>
      <c r="N131" s="1022"/>
      <c r="O131" s="1022"/>
      <c r="P131" s="1022"/>
      <c r="Q131" s="1022"/>
      <c r="R131" s="1022"/>
      <c r="S131" s="1022"/>
      <c r="T131" s="1022"/>
      <c r="U131" s="1022"/>
      <c r="V131" s="1022"/>
      <c r="W131" s="1022"/>
      <c r="X131" s="1022"/>
      <c r="Y131" s="1022"/>
      <c r="Z131" s="1022"/>
      <c r="AA131" s="1022"/>
      <c r="AB131" s="1022"/>
      <c r="AC131" s="1022"/>
      <c r="AD131" s="1022"/>
      <c r="AE131" s="1022"/>
      <c r="AG131" s="19"/>
      <c r="AH131" s="175" t="str">
        <f>CONCATENATE($J$106,D131,".")</f>
        <v>3.2.1.4.</v>
      </c>
      <c r="AI131" s="1022" t="str">
        <f>txt_utilisateur&amp;IF(ici_donnees_agroalimentaire=menu_utilisateur,donnees_calculs,donnees_infos)</f>
        <v xml:space="preserve">Données saisies par l'utilisateur (fournies à titre indicatif seulement) </v>
      </c>
      <c r="AJ131" s="1022"/>
      <c r="AK131" s="1022"/>
      <c r="AL131" s="1022"/>
      <c r="AM131" s="1022"/>
      <c r="AN131" s="1022"/>
      <c r="AO131" s="1022"/>
      <c r="AP131" s="1022"/>
      <c r="AQ131" s="1022"/>
      <c r="AR131" s="1022"/>
      <c r="AS131" s="1022"/>
      <c r="AT131" s="1022"/>
      <c r="AU131" s="1022"/>
      <c r="AV131" s="1022"/>
      <c r="AW131" s="1022"/>
      <c r="AX131" s="1022"/>
      <c r="AY131" s="1022"/>
      <c r="AZ131" s="1022"/>
      <c r="BA131" s="1022"/>
      <c r="BB131" s="1022"/>
      <c r="DF131" s="124"/>
    </row>
    <row r="132" spans="1:144" ht="5.25" customHeight="1" x14ac:dyDescent="0.25">
      <c r="F132" s="124"/>
      <c r="DF132" s="124"/>
      <c r="EC132" s="26"/>
      <c r="ED132" s="26"/>
    </row>
    <row r="133" spans="1:144" ht="15" customHeight="1" thickBot="1" x14ac:dyDescent="0.3">
      <c r="F133" s="124"/>
      <c r="I133" s="1001" t="str">
        <f t="shared" ref="I133:I143" si="20">I112</f>
        <v>Secteurs SCIAN</v>
      </c>
      <c r="J133" s="1001"/>
      <c r="K133" s="1001"/>
      <c r="L133" s="1001"/>
      <c r="M133" s="1001"/>
      <c r="U133" s="727" t="str">
        <f>U112</f>
        <v>Qté générée (t)</v>
      </c>
      <c r="V133" s="727"/>
      <c r="W133" s="727"/>
      <c r="X133" s="727"/>
      <c r="Y133" s="727"/>
      <c r="AG133" s="1001" t="str">
        <f t="shared" ref="AG133:AG143" si="21">I133</f>
        <v>Secteurs SCIAN</v>
      </c>
      <c r="AH133" s="1001"/>
      <c r="AI133" s="1001"/>
      <c r="AJ133" s="1001"/>
      <c r="AK133" s="1001"/>
      <c r="AL133" s="126"/>
      <c r="AN133" s="727" t="str">
        <f>U133</f>
        <v>Qté générée (t)</v>
      </c>
      <c r="AO133" s="727"/>
      <c r="AP133" s="727"/>
      <c r="AQ133" s="727"/>
      <c r="AR133" s="727"/>
      <c r="BC133" s="131"/>
      <c r="DF133" s="124"/>
      <c r="EC133" s="26"/>
      <c r="ED133" s="26"/>
    </row>
    <row r="134" spans="1:144" ht="15" customHeight="1" thickBot="1" x14ac:dyDescent="0.3">
      <c r="F134" s="124"/>
      <c r="I134" s="1034">
        <f t="shared" si="20"/>
        <v>3111</v>
      </c>
      <c r="J134" s="1034"/>
      <c r="K134" s="1034"/>
      <c r="L134" s="1034"/>
      <c r="M134" s="1034"/>
      <c r="N134" s="28"/>
      <c r="O134" s="28"/>
      <c r="P134" s="28"/>
      <c r="Q134" s="28"/>
      <c r="R134" s="28"/>
      <c r="S134" s="28"/>
      <c r="T134" s="28"/>
      <c r="U134" s="1095" t="str">
        <f t="shared" ref="U134:U143" si="22">IF(OR($AW$107="",O113="",U113="",ici_facteur_emp_MRC=0,AND($AW$107&lt;&gt;"Non",AO113="")),N.D.,IF($AW$107="Oui",AO113*DQ113,(O113*ici_facteur_emp_MRC)*DQ113))</f>
        <v>N.D.</v>
      </c>
      <c r="V134" s="1095"/>
      <c r="W134" s="1095"/>
      <c r="X134" s="1095"/>
      <c r="Y134" s="1095"/>
      <c r="AG134" s="1034">
        <f t="shared" si="21"/>
        <v>3111</v>
      </c>
      <c r="AH134" s="1034"/>
      <c r="AI134" s="1034"/>
      <c r="AJ134" s="1034"/>
      <c r="AK134" s="1034"/>
      <c r="AL134" s="132"/>
      <c r="AM134" s="28"/>
      <c r="AN134" s="1032"/>
      <c r="AO134" s="1032"/>
      <c r="AP134" s="1032"/>
      <c r="AQ134" s="1032"/>
      <c r="AR134" s="1032"/>
      <c r="AU134" s="305"/>
      <c r="AV134" s="305"/>
      <c r="AW134" s="305"/>
      <c r="AX134" s="305"/>
      <c r="AY134" s="305"/>
      <c r="AZ134" s="305"/>
      <c r="BA134" s="305"/>
      <c r="BB134" s="305"/>
      <c r="BC134" s="305"/>
      <c r="BD134" s="305"/>
      <c r="DF134" s="124"/>
      <c r="DX134" s="106"/>
      <c r="DY134" s="107"/>
      <c r="DZ134" s="107"/>
      <c r="EA134" s="773" t="s">
        <v>497</v>
      </c>
      <c r="EB134" s="773"/>
      <c r="EC134" s="773"/>
      <c r="ED134" s="773"/>
      <c r="EE134" s="773"/>
      <c r="EF134" s="773"/>
      <c r="EG134" s="773"/>
      <c r="EH134" s="773"/>
      <c r="EI134" s="773"/>
      <c r="EJ134" s="773"/>
      <c r="EK134" s="773"/>
      <c r="EL134" s="773"/>
      <c r="EM134" s="107"/>
      <c r="EN134" s="108"/>
    </row>
    <row r="135" spans="1:144" ht="15" customHeight="1" x14ac:dyDescent="0.25">
      <c r="F135" s="124"/>
      <c r="I135" s="1034">
        <f t="shared" si="20"/>
        <v>3112</v>
      </c>
      <c r="J135" s="1034"/>
      <c r="K135" s="1034"/>
      <c r="L135" s="1034"/>
      <c r="M135" s="1034"/>
      <c r="N135" s="28"/>
      <c r="O135" s="28"/>
      <c r="P135" s="28"/>
      <c r="Q135" s="28"/>
      <c r="R135" s="28"/>
      <c r="S135" s="28"/>
      <c r="T135" s="28"/>
      <c r="U135" s="1095" t="str">
        <f t="shared" si="22"/>
        <v>N.D.</v>
      </c>
      <c r="V135" s="1095"/>
      <c r="W135" s="1095"/>
      <c r="X135" s="1095"/>
      <c r="Y135" s="1095"/>
      <c r="AG135" s="1034">
        <f t="shared" si="21"/>
        <v>3112</v>
      </c>
      <c r="AH135" s="1034"/>
      <c r="AI135" s="1034"/>
      <c r="AJ135" s="1034"/>
      <c r="AK135" s="1034"/>
      <c r="AL135" s="132"/>
      <c r="AM135" s="28"/>
      <c r="AN135" s="1032"/>
      <c r="AO135" s="1032"/>
      <c r="AP135" s="1032"/>
      <c r="AQ135" s="1032"/>
      <c r="AR135" s="1032"/>
      <c r="AU135" s="305"/>
      <c r="AV135" s="305"/>
      <c r="AW135" s="305"/>
      <c r="AX135" s="305"/>
      <c r="AY135" s="305"/>
      <c r="AZ135" s="305"/>
      <c r="BA135" s="305"/>
      <c r="BB135" s="305"/>
      <c r="BC135" s="305"/>
      <c r="BD135" s="305"/>
      <c r="DF135" s="124"/>
      <c r="DP135" s="106"/>
      <c r="DQ135" s="120" t="s">
        <v>505</v>
      </c>
      <c r="DR135" s="107"/>
      <c r="DS135" s="107"/>
      <c r="DT135" s="107"/>
      <c r="DU135" s="107"/>
      <c r="DV135" s="118"/>
      <c r="DX135" s="57"/>
      <c r="EN135" s="27"/>
    </row>
    <row r="136" spans="1:144" ht="15" customHeight="1" x14ac:dyDescent="0.25">
      <c r="F136" s="124"/>
      <c r="I136" s="1034">
        <f t="shared" si="20"/>
        <v>3113</v>
      </c>
      <c r="J136" s="1034"/>
      <c r="K136" s="1034"/>
      <c r="L136" s="1034"/>
      <c r="M136" s="1034"/>
      <c r="N136" s="28"/>
      <c r="O136" s="28"/>
      <c r="P136" s="28"/>
      <c r="Q136" s="28"/>
      <c r="R136" s="28"/>
      <c r="S136" s="28"/>
      <c r="T136" s="28"/>
      <c r="U136" s="1095" t="str">
        <f t="shared" si="22"/>
        <v>N.D.</v>
      </c>
      <c r="V136" s="1095"/>
      <c r="W136" s="1095"/>
      <c r="X136" s="1095"/>
      <c r="Y136" s="1095"/>
      <c r="AG136" s="1034">
        <f t="shared" si="21"/>
        <v>3113</v>
      </c>
      <c r="AH136" s="1034"/>
      <c r="AI136" s="1034"/>
      <c r="AJ136" s="1034"/>
      <c r="AK136" s="1034"/>
      <c r="AL136" s="132"/>
      <c r="AM136" s="28"/>
      <c r="AN136" s="1032"/>
      <c r="AO136" s="1032"/>
      <c r="AP136" s="1032"/>
      <c r="AQ136" s="1032"/>
      <c r="AR136" s="1032"/>
      <c r="AU136" s="305"/>
      <c r="AV136" s="305"/>
      <c r="AW136" s="305"/>
      <c r="AX136" s="305"/>
      <c r="AY136" s="305"/>
      <c r="AZ136" s="305"/>
      <c r="BA136" s="305"/>
      <c r="BB136" s="305"/>
      <c r="BC136" s="305"/>
      <c r="BD136" s="305"/>
      <c r="DF136" s="124"/>
      <c r="DP136" s="57"/>
      <c r="DQ136" s="1001" t="s">
        <v>504</v>
      </c>
      <c r="DR136" s="1001"/>
      <c r="DS136" s="1001"/>
      <c r="DT136" s="1001"/>
      <c r="DU136" s="1001"/>
      <c r="DV136" s="119"/>
      <c r="DX136" s="57"/>
      <c r="EA136" s="1001" t="s">
        <v>285</v>
      </c>
      <c r="EB136" s="1001"/>
      <c r="EC136" s="1001"/>
      <c r="ED136" s="1001"/>
      <c r="EF136" s="1001" t="s">
        <v>286</v>
      </c>
      <c r="EG136" s="1001"/>
      <c r="EH136" s="1001"/>
      <c r="EI136" s="1001"/>
      <c r="EK136" s="1001" t="s">
        <v>287</v>
      </c>
      <c r="EL136" s="1001"/>
      <c r="EM136" s="1001"/>
      <c r="EN136" s="1111"/>
    </row>
    <row r="137" spans="1:144" ht="15" customHeight="1" x14ac:dyDescent="0.25">
      <c r="F137" s="124"/>
      <c r="I137" s="1034">
        <f t="shared" si="20"/>
        <v>3114</v>
      </c>
      <c r="J137" s="1034"/>
      <c r="K137" s="1034"/>
      <c r="L137" s="1034"/>
      <c r="M137" s="1034"/>
      <c r="N137" s="28"/>
      <c r="O137" s="28"/>
      <c r="P137" s="28"/>
      <c r="Q137" s="28"/>
      <c r="R137" s="28"/>
      <c r="S137" s="28"/>
      <c r="T137" s="28"/>
      <c r="U137" s="1095" t="str">
        <f t="shared" si="22"/>
        <v>N.D.</v>
      </c>
      <c r="V137" s="1095"/>
      <c r="W137" s="1095"/>
      <c r="X137" s="1095"/>
      <c r="Y137" s="1095"/>
      <c r="AG137" s="1034">
        <f t="shared" si="21"/>
        <v>3114</v>
      </c>
      <c r="AH137" s="1034"/>
      <c r="AI137" s="1034"/>
      <c r="AJ137" s="1034"/>
      <c r="AK137" s="1034"/>
      <c r="AL137" s="132"/>
      <c r="AM137" s="28"/>
      <c r="AN137" s="1032"/>
      <c r="AO137" s="1032"/>
      <c r="AP137" s="1032"/>
      <c r="AQ137" s="1032"/>
      <c r="AR137" s="1032"/>
      <c r="AU137" s="305"/>
      <c r="AV137" s="305"/>
      <c r="AW137" s="305"/>
      <c r="AX137" s="305"/>
      <c r="AY137" s="305"/>
      <c r="AZ137" s="305"/>
      <c r="BA137" s="305"/>
      <c r="BB137" s="305"/>
      <c r="BC137" s="305"/>
      <c r="BD137" s="305"/>
      <c r="DF137" s="124"/>
      <c r="DP137" s="57"/>
      <c r="DQ137" s="1120">
        <f>IF(AW107="oui",AO124,(SUM(O124)*ici_facteur_emp_MRC))</f>
        <v>0</v>
      </c>
      <c r="DR137" s="1120"/>
      <c r="DS137" s="1120"/>
      <c r="DT137" s="1120"/>
      <c r="DU137" s="1120"/>
      <c r="DV137" s="119"/>
      <c r="DX137" s="1006" t="s">
        <v>492</v>
      </c>
      <c r="DY137" s="699"/>
      <c r="EA137" s="1112" t="str">
        <f>IF(OR(EF137=N.D.,EK137=N.D.),N.D.,SUM(EK137,-EF137))</f>
        <v>N.D.</v>
      </c>
      <c r="EB137" s="990"/>
      <c r="EC137" s="990"/>
      <c r="ED137" s="990"/>
      <c r="EF137" s="1112" t="str">
        <f>IF(ici_donnees_agroalimentaire=menu_utilisateur,EF122,EF117)</f>
        <v>N.D.</v>
      </c>
      <c r="EG137" s="1112"/>
      <c r="EH137" s="1112"/>
      <c r="EI137" s="1112"/>
      <c r="EK137" s="1112" t="str">
        <f>IF(ici_donnees_agroalimentaire=menu_utilisateur,EK122,EK117)</f>
        <v>N.D.</v>
      </c>
      <c r="EL137" s="990"/>
      <c r="EM137" s="990"/>
      <c r="EN137" s="1113"/>
    </row>
    <row r="138" spans="1:144" ht="15" customHeight="1" thickBot="1" x14ac:dyDescent="0.3">
      <c r="F138" s="124"/>
      <c r="I138" s="1034">
        <f t="shared" si="20"/>
        <v>3115</v>
      </c>
      <c r="J138" s="1034"/>
      <c r="K138" s="1034"/>
      <c r="L138" s="1034"/>
      <c r="M138" s="1034"/>
      <c r="N138" s="28"/>
      <c r="O138" s="28"/>
      <c r="P138" s="28"/>
      <c r="Q138" s="28"/>
      <c r="R138" s="28"/>
      <c r="S138" s="28"/>
      <c r="T138" s="28"/>
      <c r="U138" s="1095" t="str">
        <f t="shared" si="22"/>
        <v>N.D.</v>
      </c>
      <c r="V138" s="1095"/>
      <c r="W138" s="1095"/>
      <c r="X138" s="1095"/>
      <c r="Y138" s="1095"/>
      <c r="AG138" s="1034">
        <f t="shared" si="21"/>
        <v>3115</v>
      </c>
      <c r="AH138" s="1034"/>
      <c r="AI138" s="1034"/>
      <c r="AJ138" s="1034"/>
      <c r="AK138" s="1034"/>
      <c r="AL138" s="132"/>
      <c r="AM138" s="28"/>
      <c r="AN138" s="1032"/>
      <c r="AO138" s="1032"/>
      <c r="AP138" s="1032"/>
      <c r="AQ138" s="1032"/>
      <c r="AR138" s="1032"/>
      <c r="AU138" s="305"/>
      <c r="AV138" s="305"/>
      <c r="AW138" s="305"/>
      <c r="AX138" s="305"/>
      <c r="AY138" s="305"/>
      <c r="AZ138" s="305"/>
      <c r="BA138" s="305"/>
      <c r="BB138" s="305"/>
      <c r="BC138" s="305"/>
      <c r="BD138" s="305"/>
      <c r="DF138" s="124"/>
      <c r="DP138" s="58"/>
      <c r="DQ138" s="34"/>
      <c r="DR138" s="34"/>
      <c r="DS138" s="34"/>
      <c r="DT138" s="34"/>
      <c r="DU138" s="34"/>
      <c r="DV138" s="35"/>
      <c r="DX138" s="58"/>
      <c r="DY138" s="34"/>
      <c r="DZ138" s="34"/>
      <c r="EA138" s="114"/>
      <c r="EB138" s="114"/>
      <c r="EC138" s="34"/>
      <c r="ED138" s="34"/>
      <c r="EE138" s="34"/>
      <c r="EF138" s="34"/>
      <c r="EG138" s="34"/>
      <c r="EH138" s="34"/>
      <c r="EI138" s="34"/>
      <c r="EJ138" s="34"/>
      <c r="EK138" s="34"/>
      <c r="EL138" s="34"/>
      <c r="EM138" s="34"/>
      <c r="EN138" s="35"/>
    </row>
    <row r="139" spans="1:144" ht="15" customHeight="1" x14ac:dyDescent="0.25">
      <c r="F139" s="124"/>
      <c r="I139" s="1034">
        <f t="shared" si="20"/>
        <v>3116</v>
      </c>
      <c r="J139" s="1034"/>
      <c r="K139" s="1034"/>
      <c r="L139" s="1034"/>
      <c r="M139" s="1034"/>
      <c r="N139" s="28"/>
      <c r="O139" s="28"/>
      <c r="P139" s="28"/>
      <c r="Q139" s="28"/>
      <c r="R139" s="28"/>
      <c r="S139" s="28"/>
      <c r="T139" s="28"/>
      <c r="U139" s="1095" t="str">
        <f t="shared" si="22"/>
        <v>N.D.</v>
      </c>
      <c r="V139" s="1095"/>
      <c r="W139" s="1095"/>
      <c r="X139" s="1095"/>
      <c r="Y139" s="1095"/>
      <c r="AG139" s="1034">
        <f t="shared" si="21"/>
        <v>3116</v>
      </c>
      <c r="AH139" s="1034"/>
      <c r="AI139" s="1034"/>
      <c r="AJ139" s="1034"/>
      <c r="AK139" s="1034"/>
      <c r="AL139" s="132"/>
      <c r="AM139" s="28"/>
      <c r="AN139" s="1032"/>
      <c r="AO139" s="1032"/>
      <c r="AP139" s="1032"/>
      <c r="AQ139" s="1032"/>
      <c r="AR139" s="1032"/>
      <c r="AU139" s="305"/>
      <c r="AV139" s="305"/>
      <c r="AW139" s="305"/>
      <c r="AX139" s="305"/>
      <c r="AY139" s="305"/>
      <c r="AZ139" s="305"/>
      <c r="BA139" s="305"/>
      <c r="BB139" s="305"/>
      <c r="BC139" s="305"/>
      <c r="BD139" s="305"/>
      <c r="DF139" s="124"/>
      <c r="EC139" s="26"/>
      <c r="ED139" s="26"/>
    </row>
    <row r="140" spans="1:144" ht="15" customHeight="1" x14ac:dyDescent="0.25">
      <c r="F140" s="124"/>
      <c r="I140" s="1034">
        <f t="shared" si="20"/>
        <v>3117</v>
      </c>
      <c r="J140" s="1034"/>
      <c r="K140" s="1034"/>
      <c r="L140" s="1034"/>
      <c r="M140" s="1034"/>
      <c r="N140" s="28"/>
      <c r="O140" s="28"/>
      <c r="P140" s="28"/>
      <c r="Q140" s="28"/>
      <c r="R140" s="28"/>
      <c r="S140" s="28"/>
      <c r="T140" s="28"/>
      <c r="U140" s="1095" t="str">
        <f t="shared" si="22"/>
        <v>N.D.</v>
      </c>
      <c r="V140" s="1095"/>
      <c r="W140" s="1095"/>
      <c r="X140" s="1095"/>
      <c r="Y140" s="1095"/>
      <c r="AG140" s="1034">
        <f t="shared" si="21"/>
        <v>3117</v>
      </c>
      <c r="AH140" s="1034"/>
      <c r="AI140" s="1034"/>
      <c r="AJ140" s="1034"/>
      <c r="AK140" s="1034"/>
      <c r="AL140" s="132"/>
      <c r="AM140" s="28"/>
      <c r="AN140" s="1032"/>
      <c r="AO140" s="1032"/>
      <c r="AP140" s="1032"/>
      <c r="AQ140" s="1032"/>
      <c r="AR140" s="1032"/>
      <c r="AU140" s="305"/>
      <c r="AV140" s="305"/>
      <c r="AW140" s="305"/>
      <c r="AX140" s="305"/>
      <c r="AY140" s="305"/>
      <c r="AZ140" s="305"/>
      <c r="BA140" s="305"/>
      <c r="BB140" s="305"/>
      <c r="BC140" s="305"/>
      <c r="BD140" s="305"/>
      <c r="DF140" s="124"/>
      <c r="EC140" s="26"/>
      <c r="ED140" s="26"/>
    </row>
    <row r="141" spans="1:144" ht="15" customHeight="1" x14ac:dyDescent="0.25">
      <c r="F141" s="124"/>
      <c r="I141" s="1034">
        <f t="shared" si="20"/>
        <v>3118</v>
      </c>
      <c r="J141" s="1034"/>
      <c r="K141" s="1034"/>
      <c r="L141" s="1034"/>
      <c r="M141" s="1034"/>
      <c r="N141" s="28"/>
      <c r="O141" s="28"/>
      <c r="P141" s="28"/>
      <c r="Q141" s="28"/>
      <c r="R141" s="28"/>
      <c r="S141" s="28"/>
      <c r="T141" s="28"/>
      <c r="U141" s="1095" t="str">
        <f t="shared" si="22"/>
        <v>N.D.</v>
      </c>
      <c r="V141" s="1095"/>
      <c r="W141" s="1095"/>
      <c r="X141" s="1095"/>
      <c r="Y141" s="1095"/>
      <c r="AG141" s="1034">
        <f t="shared" si="21"/>
        <v>3118</v>
      </c>
      <c r="AH141" s="1034"/>
      <c r="AI141" s="1034"/>
      <c r="AJ141" s="1034"/>
      <c r="AK141" s="1034"/>
      <c r="AL141" s="132"/>
      <c r="AM141" s="28"/>
      <c r="AN141" s="1032"/>
      <c r="AO141" s="1032"/>
      <c r="AP141" s="1032"/>
      <c r="AQ141" s="1032"/>
      <c r="AR141" s="1032"/>
      <c r="DF141" s="124"/>
      <c r="EC141" s="26"/>
      <c r="ED141" s="26"/>
    </row>
    <row r="142" spans="1:144" ht="15" customHeight="1" x14ac:dyDescent="0.25">
      <c r="F142" s="124"/>
      <c r="I142" s="1034">
        <f t="shared" si="20"/>
        <v>3119</v>
      </c>
      <c r="J142" s="1034"/>
      <c r="K142" s="1034"/>
      <c r="L142" s="1034"/>
      <c r="M142" s="1034"/>
      <c r="N142" s="28"/>
      <c r="O142" s="28"/>
      <c r="P142" s="28"/>
      <c r="Q142" s="28"/>
      <c r="R142" s="28"/>
      <c r="S142" s="28"/>
      <c r="T142" s="28"/>
      <c r="U142" s="1095" t="str">
        <f t="shared" si="22"/>
        <v>N.D.</v>
      </c>
      <c r="V142" s="1095"/>
      <c r="W142" s="1095"/>
      <c r="X142" s="1095"/>
      <c r="Y142" s="1095"/>
      <c r="AG142" s="1034">
        <f t="shared" si="21"/>
        <v>3119</v>
      </c>
      <c r="AH142" s="1034"/>
      <c r="AI142" s="1034"/>
      <c r="AJ142" s="1034"/>
      <c r="AK142" s="1034"/>
      <c r="AL142" s="132"/>
      <c r="AM142" s="28"/>
      <c r="AN142" s="1032"/>
      <c r="AO142" s="1032"/>
      <c r="AP142" s="1032"/>
      <c r="AQ142" s="1032"/>
      <c r="AR142" s="1032"/>
      <c r="DF142" s="124"/>
      <c r="EC142" s="26"/>
      <c r="ED142" s="26"/>
    </row>
    <row r="143" spans="1:144" ht="15" customHeight="1" x14ac:dyDescent="0.25">
      <c r="F143" s="124"/>
      <c r="I143" s="1034">
        <f t="shared" si="20"/>
        <v>312</v>
      </c>
      <c r="J143" s="1034"/>
      <c r="K143" s="1034"/>
      <c r="L143" s="1034"/>
      <c r="M143" s="1034"/>
      <c r="N143" s="28"/>
      <c r="O143" s="28"/>
      <c r="P143" s="28"/>
      <c r="Q143" s="28"/>
      <c r="R143" s="28"/>
      <c r="S143" s="28"/>
      <c r="T143" s="28"/>
      <c r="U143" s="1095" t="str">
        <f t="shared" si="22"/>
        <v>N.D.</v>
      </c>
      <c r="V143" s="1095"/>
      <c r="W143" s="1095"/>
      <c r="X143" s="1095"/>
      <c r="Y143" s="1095"/>
      <c r="AG143" s="1034">
        <f t="shared" si="21"/>
        <v>312</v>
      </c>
      <c r="AH143" s="1034"/>
      <c r="AI143" s="1034"/>
      <c r="AJ143" s="1034"/>
      <c r="AK143" s="1034"/>
      <c r="AL143" s="132"/>
      <c r="AM143" s="28"/>
      <c r="AN143" s="1032"/>
      <c r="AO143" s="1032"/>
      <c r="AP143" s="1032"/>
      <c r="AQ143" s="1032"/>
      <c r="AR143" s="1032"/>
      <c r="AV143" s="727" t="str">
        <f>I147</f>
        <v>Qté totale éliminée</v>
      </c>
      <c r="AW143" s="727"/>
      <c r="AX143" s="727"/>
      <c r="AY143" s="727"/>
      <c r="AZ143" s="727"/>
      <c r="BA143" s="727"/>
      <c r="BB143" s="727"/>
      <c r="DF143" s="124"/>
      <c r="EC143" s="26"/>
      <c r="ED143" s="26"/>
    </row>
    <row r="144" spans="1:144" ht="5.25" customHeight="1" x14ac:dyDescent="0.25">
      <c r="F144" s="124"/>
      <c r="DF144" s="124"/>
      <c r="EC144" s="26"/>
      <c r="ED144" s="26"/>
    </row>
    <row r="145" spans="3:134" ht="15" customHeight="1" x14ac:dyDescent="0.25">
      <c r="F145" s="124"/>
      <c r="I145" s="1026" t="str">
        <f>I124</f>
        <v>Total</v>
      </c>
      <c r="J145" s="1026"/>
      <c r="K145" s="1026"/>
      <c r="L145" s="1026"/>
      <c r="M145" s="1026"/>
      <c r="N145" s="31"/>
      <c r="O145" s="31"/>
      <c r="P145" s="31"/>
      <c r="Q145" s="31"/>
      <c r="R145" s="31"/>
      <c r="S145" s="31"/>
      <c r="T145" s="31"/>
      <c r="U145" s="1078" t="str">
        <f>IF(COUNTIF(U134:U143,N.D.)&gt;0,N.D.,SUM(U134:U143))</f>
        <v>N.D.</v>
      </c>
      <c r="V145" s="1078"/>
      <c r="W145" s="1078"/>
      <c r="X145" s="1078"/>
      <c r="Y145" s="1078"/>
      <c r="AG145" s="1026" t="str">
        <f>I145</f>
        <v>Total</v>
      </c>
      <c r="AH145" s="1026"/>
      <c r="AI145" s="1026"/>
      <c r="AJ145" s="1026"/>
      <c r="AK145" s="1026"/>
      <c r="AL145" s="133"/>
      <c r="AM145" s="31"/>
      <c r="AN145" s="1078" t="str">
        <f>IF(AND(ici_donnees_agroalimentaire=menu_utilisateur,COUNTBLANK(AN134:AN143)&gt;0),N.D.,IF(COUNTA(AN134:AR143)=0,"",SUM(AN134:AN143)))</f>
        <v/>
      </c>
      <c r="AO145" s="1078"/>
      <c r="AP145" s="1078"/>
      <c r="AQ145" s="1078"/>
      <c r="AR145" s="1078"/>
      <c r="AW145" s="1032"/>
      <c r="AX145" s="1032"/>
      <c r="AY145" s="1032"/>
      <c r="AZ145" s="1032"/>
      <c r="BA145" s="1032"/>
      <c r="DF145" s="124"/>
      <c r="EC145" s="26"/>
      <c r="ED145" s="26"/>
    </row>
    <row r="146" spans="3:134" ht="15" customHeight="1" x14ac:dyDescent="0.25">
      <c r="F146" s="124"/>
      <c r="DF146" s="124"/>
      <c r="EB146" s="26"/>
      <c r="EC146" s="26"/>
    </row>
    <row r="147" spans="3:134" ht="15" customHeight="1" x14ac:dyDescent="0.25">
      <c r="F147" s="124"/>
      <c r="I147" s="1026" t="s">
        <v>422</v>
      </c>
      <c r="J147" s="1026"/>
      <c r="K147" s="1026"/>
      <c r="L147" s="1026"/>
      <c r="M147" s="1026"/>
      <c r="N147" s="1026"/>
      <c r="O147" s="1026"/>
      <c r="P147" s="1026"/>
      <c r="Q147" s="1026"/>
      <c r="R147" s="31"/>
      <c r="S147" s="31"/>
      <c r="T147" s="31"/>
      <c r="U147" s="1098" t="str">
        <f>IF(OR($AW$107="",R126="",O124=N.D.,AO124=N.D.),N.D.,IF(AW107="oui",AO124*DQ125,(O124*ici_facteur_emp_MRC)*DQ125))</f>
        <v>N.D.</v>
      </c>
      <c r="V147" s="1098"/>
      <c r="W147" s="1098"/>
      <c r="X147" s="1098"/>
      <c r="Y147" s="1098"/>
      <c r="AC147" s="1027" t="str">
        <f>txt_aide</f>
        <v>Aide à la validation des données :</v>
      </c>
      <c r="AD147" s="1027"/>
      <c r="AE147" s="1027"/>
      <c r="AF147" s="1027"/>
      <c r="AG147" s="1027"/>
      <c r="AH147" s="1027"/>
      <c r="AI147" s="1027"/>
      <c r="AJ147" s="1027"/>
      <c r="AK147" s="1027"/>
      <c r="AL147" s="1027"/>
      <c r="AM147" s="1027"/>
      <c r="AN147" s="764" t="str">
        <f>IF(OR(U145=N.D.,COUNTBLANK(AN134:AN143)&gt;0,$AN$145=N.D.),N.D.,IF(AND(U145=0,AN145=0),0,IF(OR(U145=0,AN145=0),N.A.,IF(AN145&lt;U145,(U145-AN145)/AN145,(AN145-U145)/U145))))</f>
        <v>N.D.</v>
      </c>
      <c r="AO147" s="764"/>
      <c r="AP147" s="764"/>
      <c r="AQ147" s="764"/>
      <c r="AR147" s="764"/>
      <c r="AS147" s="31"/>
      <c r="AT147" s="31"/>
      <c r="AU147" s="31"/>
      <c r="AV147" s="31"/>
      <c r="AW147" s="764" t="str">
        <f>IF(OR(U147=N.D.,COUNTBLANK(AW145)&gt;0,$AW$145=N.D.),N.D.,IF(AND(U147=0,AW145=0),0,IF(OR(U147=0,AW145=0),N.A.,IF(AW145&lt;U147,(U147-AW145)/AW145,(AW145-U147)/U147))))</f>
        <v>N.D.</v>
      </c>
      <c r="AX147" s="764"/>
      <c r="AY147" s="764"/>
      <c r="AZ147" s="764"/>
      <c r="BA147" s="764"/>
      <c r="BB147" s="54"/>
      <c r="BC147" s="54"/>
      <c r="BD147" s="54"/>
      <c r="BE147" s="54"/>
      <c r="BF147" s="54"/>
      <c r="BG147" s="54"/>
      <c r="BH147" s="54"/>
      <c r="BI147" s="54"/>
      <c r="BJ147" s="54"/>
      <c r="BK147" s="54"/>
      <c r="BL147" s="54"/>
      <c r="BM147" s="54"/>
      <c r="BN147" s="54"/>
      <c r="BO147" s="54"/>
      <c r="BP147" s="54"/>
      <c r="BQ147" s="54"/>
      <c r="BR147" s="54"/>
      <c r="BS147" s="54"/>
      <c r="BT147" s="54"/>
      <c r="BU147" s="54"/>
      <c r="BV147" s="54"/>
      <c r="BW147" s="54"/>
      <c r="BX147" s="54"/>
      <c r="BY147" s="54"/>
      <c r="BZ147" s="54"/>
      <c r="CA147" s="54"/>
      <c r="CB147" s="54"/>
      <c r="CC147" s="54"/>
      <c r="CD147" s="54"/>
      <c r="CE147" s="54"/>
      <c r="CF147" s="54"/>
      <c r="CG147" s="54"/>
      <c r="CH147" s="54"/>
      <c r="CI147" s="54"/>
      <c r="CJ147" s="54"/>
      <c r="CK147" s="54"/>
      <c r="CL147" s="54"/>
      <c r="CM147" s="54"/>
      <c r="CN147" s="54"/>
      <c r="CO147" s="54"/>
      <c r="CP147" s="54"/>
      <c r="CQ147" s="54"/>
      <c r="CR147" s="54"/>
      <c r="CS147" s="54"/>
      <c r="CT147" s="54"/>
      <c r="CU147" s="54"/>
      <c r="CV147" s="54"/>
      <c r="CW147" s="54"/>
      <c r="CX147" s="54"/>
      <c r="CY147" s="54"/>
      <c r="CZ147" s="54"/>
      <c r="DA147" s="54"/>
      <c r="DB147" s="54"/>
      <c r="DC147" s="54"/>
      <c r="DD147" s="54"/>
      <c r="DE147" s="54"/>
      <c r="DF147" s="124"/>
      <c r="DY147" s="26"/>
      <c r="DZ147" s="26"/>
    </row>
    <row r="148" spans="3:134" ht="15" customHeight="1" x14ac:dyDescent="0.25">
      <c r="F148" s="124"/>
      <c r="I148" s="117" t="str">
        <f>IF(OR(U145=N.D.,U147=N.D.),N.D.,"")</f>
        <v>N.D.</v>
      </c>
      <c r="J148" s="1106" t="str">
        <f>IF(I148=N.D.,txt_N.D.&amp;I5&amp;" ou "&amp;I104,"")</f>
        <v>Non disponible : vérifiez les données à la question 3.1. ou 3.2.</v>
      </c>
      <c r="K148" s="1106"/>
      <c r="L148" s="1106"/>
      <c r="M148" s="1106"/>
      <c r="N148" s="1106"/>
      <c r="O148" s="1106"/>
      <c r="P148" s="1106"/>
      <c r="Q148" s="1106"/>
      <c r="R148" s="1106"/>
      <c r="S148" s="1106"/>
      <c r="T148" s="1106"/>
      <c r="U148" s="1106"/>
      <c r="V148" s="1106"/>
      <c r="W148" s="1106"/>
      <c r="X148" s="1106"/>
      <c r="Y148" s="1106"/>
      <c r="Z148" s="1106"/>
      <c r="AA148" s="1106"/>
      <c r="AG148" s="117" t="str">
        <f>IF(ici_donnees_agroalimentaire=menu_outil,"",IF(OR(AN145=N.D.,I148=N.D.),N.D.,""))</f>
        <v>N.D.</v>
      </c>
      <c r="AH148" s="16" t="str">
        <f>IF(OR(AN147=N.D.,AW147=N.D.,U147=N.D.),IF(AI148&lt;&gt;"",puce1,""),puce1)</f>
        <v>Ä</v>
      </c>
      <c r="AI148" s="1107" t="str">
        <f>IF(ici_donnees_agroalimentaire=menu_outil,txt_validation,IF(I148=N.D.,J148,IF(AG148=N.D.,txt_N.D.&amp;AH131,"")))</f>
        <v>Non disponible : vérifiez les données à la question 3.1. ou 3.2.</v>
      </c>
      <c r="AJ148" s="1107"/>
      <c r="AK148" s="1107"/>
      <c r="AL148" s="1107"/>
      <c r="AM148" s="1107"/>
      <c r="AN148" s="1107"/>
      <c r="AO148" s="1107"/>
      <c r="AP148" s="1107"/>
      <c r="AQ148" s="1107"/>
      <c r="AR148" s="1107"/>
      <c r="AS148" s="1107"/>
      <c r="AT148" s="1107"/>
      <c r="AU148" s="1107"/>
      <c r="AV148" s="1107"/>
      <c r="AW148" s="1107"/>
      <c r="AX148" s="1107"/>
      <c r="AY148" s="1107"/>
      <c r="AZ148" s="1107"/>
      <c r="BA148" s="1107"/>
      <c r="BB148" s="1108"/>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4"/>
      <c r="BY148" s="54"/>
      <c r="BZ148" s="54"/>
      <c r="CA148" s="54"/>
      <c r="CB148" s="54"/>
      <c r="CC148" s="54"/>
      <c r="CD148" s="54"/>
      <c r="CE148" s="54"/>
      <c r="CF148" s="54"/>
      <c r="CG148" s="54"/>
      <c r="CH148" s="54"/>
      <c r="CI148" s="54"/>
      <c r="CJ148" s="54"/>
      <c r="CK148" s="54"/>
      <c r="CL148" s="54"/>
      <c r="CM148" s="54"/>
      <c r="CN148" s="54"/>
      <c r="CO148" s="54"/>
      <c r="CP148" s="54"/>
      <c r="CQ148" s="54"/>
      <c r="CR148" s="54"/>
      <c r="CS148" s="54"/>
      <c r="CT148" s="54"/>
      <c r="CU148" s="54"/>
      <c r="CV148" s="54"/>
      <c r="CW148" s="54"/>
      <c r="CX148" s="54"/>
      <c r="CY148" s="54"/>
      <c r="CZ148" s="54"/>
      <c r="DA148" s="54"/>
      <c r="DB148" s="54"/>
      <c r="DC148" s="54"/>
      <c r="DD148" s="54"/>
      <c r="DE148" s="54"/>
      <c r="DF148" s="124"/>
    </row>
    <row r="149" spans="3:134" ht="15" customHeight="1" x14ac:dyDescent="0.25">
      <c r="F149" s="124"/>
      <c r="AG149" s="115" t="str">
        <f>IF(OR(AN147=N.A.,AW147=N.A.),N.A.,"")</f>
        <v/>
      </c>
      <c r="AH149" s="59"/>
      <c r="AI149" s="1109" t="str">
        <f>IF(AG149=N.A.,txt_N.A.,"")</f>
        <v/>
      </c>
      <c r="AJ149" s="1109"/>
      <c r="AK149" s="1109"/>
      <c r="AL149" s="1109"/>
      <c r="AM149" s="1109"/>
      <c r="AN149" s="1109"/>
      <c r="AO149" s="1109"/>
      <c r="AP149" s="1109"/>
      <c r="AQ149" s="1109"/>
      <c r="AR149" s="1109"/>
      <c r="AS149" s="1109"/>
      <c r="AT149" s="1109"/>
      <c r="AU149" s="1109"/>
      <c r="AV149" s="1109"/>
      <c r="AW149" s="1109"/>
      <c r="AX149" s="1109"/>
      <c r="AY149" s="1109"/>
      <c r="AZ149" s="1109"/>
      <c r="BA149" s="1109"/>
      <c r="DF149" s="124"/>
    </row>
    <row r="150" spans="3:134" ht="12.75" hidden="1" customHeight="1" x14ac:dyDescent="0.25">
      <c r="F150" s="124"/>
      <c r="AG150" s="115"/>
      <c r="AH150" s="59"/>
      <c r="AI150" s="1109"/>
      <c r="AJ150" s="1109"/>
      <c r="AK150" s="1109"/>
      <c r="AL150" s="1109"/>
      <c r="AM150" s="1109"/>
      <c r="AN150" s="1109"/>
      <c r="AO150" s="1109"/>
      <c r="AP150" s="1109"/>
      <c r="AQ150" s="1109"/>
      <c r="AR150" s="1109"/>
      <c r="AS150" s="1109"/>
      <c r="AT150" s="1109"/>
      <c r="AU150" s="1109"/>
      <c r="AV150" s="1109"/>
      <c r="AW150" s="1109"/>
      <c r="AX150" s="1109"/>
      <c r="AY150" s="1109"/>
      <c r="AZ150" s="1109"/>
      <c r="BA150" s="1109"/>
      <c r="DF150" s="124"/>
    </row>
    <row r="151" spans="3:134" ht="15.75" hidden="1" customHeight="1" x14ac:dyDescent="0.25">
      <c r="C151" s="5" t="s">
        <v>440</v>
      </c>
      <c r="F151" s="124"/>
      <c r="J151" s="186" t="str">
        <f>CONCATENATE($B$2,".",$C151,".")</f>
        <v>3.2.2.</v>
      </c>
      <c r="K151" s="1070" t="s">
        <v>723</v>
      </c>
      <c r="L151" s="1070"/>
      <c r="M151" s="1070"/>
      <c r="N151" s="1070"/>
      <c r="O151" s="1070"/>
      <c r="P151" s="1070"/>
      <c r="Q151" s="1070"/>
      <c r="R151" s="1070"/>
      <c r="S151" s="1070"/>
      <c r="T151" s="1070"/>
      <c r="U151" s="1070"/>
      <c r="V151" s="1070"/>
      <c r="AG151" s="115"/>
      <c r="AH151" s="19"/>
      <c r="AI151" s="19"/>
      <c r="AJ151" s="19"/>
      <c r="AK151" s="19"/>
      <c r="AL151" s="19"/>
      <c r="AM151" s="19"/>
      <c r="AN151" s="19"/>
      <c r="AO151" s="19"/>
      <c r="AP151" s="19"/>
      <c r="AQ151" s="19"/>
      <c r="AR151" s="19"/>
      <c r="AS151" s="19"/>
      <c r="AT151" s="19"/>
      <c r="AU151" s="19"/>
      <c r="AV151" s="19"/>
      <c r="AW151" s="19"/>
      <c r="AX151" s="19"/>
      <c r="DF151" s="124"/>
    </row>
    <row r="152" spans="3:134" ht="22.5" hidden="1" customHeight="1" x14ac:dyDescent="0.25">
      <c r="F152" s="124"/>
      <c r="AL152" s="1100" t="s">
        <v>739</v>
      </c>
      <c r="AM152" s="1101"/>
      <c r="AN152" s="1101"/>
      <c r="AO152" s="1101"/>
      <c r="AP152" s="1101"/>
      <c r="AQ152" s="1101"/>
      <c r="AR152" s="1101"/>
      <c r="AS152" s="1101"/>
      <c r="AT152" s="1101"/>
      <c r="AU152" s="1101"/>
      <c r="AV152" s="1101"/>
      <c r="AW152" s="1101"/>
      <c r="AX152" s="1102"/>
      <c r="DF152" s="124"/>
    </row>
    <row r="153" spans="3:134" ht="20.25" hidden="1" customHeight="1" x14ac:dyDescent="0.25">
      <c r="C153" s="73" t="str">
        <f>C151&amp;".1"</f>
        <v>2.2.1</v>
      </c>
      <c r="D153" s="72"/>
      <c r="F153" s="124"/>
      <c r="H153" s="12"/>
      <c r="I153" s="70"/>
      <c r="K153" s="175" t="str">
        <f>CONCATENATE($B$2,".",$C153,".")</f>
        <v>3.2.2.1.</v>
      </c>
      <c r="L153" s="1097" t="s">
        <v>441</v>
      </c>
      <c r="M153" s="728"/>
      <c r="N153" s="728"/>
      <c r="O153" s="728"/>
      <c r="P153" s="728"/>
      <c r="Q153" s="728"/>
      <c r="R153" s="728"/>
      <c r="S153" s="728"/>
      <c r="T153" s="728"/>
      <c r="U153" s="728"/>
      <c r="V153" s="728"/>
      <c r="W153" s="728"/>
      <c r="X153" s="728"/>
      <c r="Y153" s="728"/>
      <c r="Z153" s="728"/>
      <c r="AA153" s="728"/>
      <c r="AB153" s="728"/>
      <c r="AC153" s="728"/>
      <c r="AD153" s="759"/>
      <c r="AE153" s="759"/>
      <c r="AF153" s="759"/>
      <c r="AH153" s="1096" t="s">
        <v>79</v>
      </c>
      <c r="AI153" s="1096"/>
      <c r="AL153" s="1103"/>
      <c r="AM153" s="1104"/>
      <c r="AN153" s="1104"/>
      <c r="AO153" s="1104"/>
      <c r="AP153" s="1104"/>
      <c r="AQ153" s="1104"/>
      <c r="AR153" s="1104"/>
      <c r="AS153" s="1104"/>
      <c r="AT153" s="1104"/>
      <c r="AU153" s="1104"/>
      <c r="AV153" s="1104"/>
      <c r="AW153" s="1104"/>
      <c r="AX153" s="1105"/>
      <c r="DF153" s="124"/>
    </row>
    <row r="154" spans="3:134" ht="5.25" hidden="1" customHeight="1" x14ac:dyDescent="0.25">
      <c r="F154" s="124"/>
      <c r="DF154" s="124"/>
    </row>
    <row r="155" spans="3:134" ht="15" hidden="1" customHeight="1" x14ac:dyDescent="0.25">
      <c r="C155" s="73"/>
      <c r="D155" s="72"/>
      <c r="F155" s="124"/>
      <c r="H155" s="12"/>
      <c r="I155" s="1001" t="s">
        <v>459</v>
      </c>
      <c r="J155" s="1001"/>
      <c r="K155" s="1001"/>
      <c r="M155" s="1001" t="s">
        <v>464</v>
      </c>
      <c r="N155" s="1001"/>
      <c r="O155" s="1001"/>
      <c r="P155" s="1001"/>
      <c r="Q155" s="1001"/>
      <c r="R155" s="1001"/>
      <c r="S155" s="1001"/>
      <c r="T155" s="1001"/>
      <c r="U155" s="1001"/>
      <c r="V155" s="1001"/>
      <c r="X155" s="1077" t="s">
        <v>740</v>
      </c>
      <c r="Y155" s="1077"/>
      <c r="Z155" s="1077"/>
      <c r="AA155" s="1077"/>
      <c r="AB155" s="1077"/>
      <c r="AC155" s="1077"/>
      <c r="AD155" s="1077"/>
      <c r="AE155" s="1077"/>
      <c r="AF155" s="1077"/>
      <c r="AG155" s="1077"/>
      <c r="AH155" s="1077"/>
      <c r="AI155" s="1077"/>
      <c r="AJ155" s="1077"/>
      <c r="AK155" s="1077"/>
      <c r="AL155" s="1077"/>
      <c r="AM155" s="1077"/>
      <c r="AN155" s="1077"/>
      <c r="AO155" s="1077"/>
      <c r="AP155" s="1077"/>
      <c r="AQ155" s="1077"/>
      <c r="AR155" s="1077"/>
      <c r="AS155" s="1077"/>
      <c r="AT155" s="1077"/>
      <c r="AU155" s="1077"/>
      <c r="AV155" s="1077"/>
      <c r="AW155" s="1077"/>
      <c r="AX155" s="1077"/>
      <c r="AY155" s="1077"/>
      <c r="AZ155" s="1077"/>
      <c r="BA155" s="1077"/>
      <c r="DF155" s="124"/>
    </row>
    <row r="156" spans="3:134" ht="15" hidden="1" customHeight="1" x14ac:dyDescent="0.25">
      <c r="C156" s="73"/>
      <c r="D156" s="72"/>
      <c r="F156" s="124"/>
      <c r="H156" s="12"/>
      <c r="I156" s="1001"/>
      <c r="J156" s="1001"/>
      <c r="K156" s="1001"/>
      <c r="M156" s="1001"/>
      <c r="N156" s="1001"/>
      <c r="O156" s="1001"/>
      <c r="P156" s="1001"/>
      <c r="Q156" s="1001"/>
      <c r="R156" s="1001"/>
      <c r="S156" s="1001"/>
      <c r="T156" s="1001"/>
      <c r="U156" s="1001"/>
      <c r="V156" s="1001"/>
      <c r="X156" s="1038" t="s">
        <v>718</v>
      </c>
      <c r="Y156" s="1038"/>
      <c r="Z156" s="1038"/>
      <c r="AA156" s="1038"/>
      <c r="AB156" s="126"/>
      <c r="AC156" s="134"/>
      <c r="AD156" s="1023" t="s">
        <v>710</v>
      </c>
      <c r="AE156" s="1023"/>
      <c r="AF156" s="1023"/>
      <c r="AG156" s="1023"/>
      <c r="AH156" s="134"/>
      <c r="AI156" s="1077" t="s">
        <v>463</v>
      </c>
      <c r="AJ156" s="1077"/>
      <c r="AK156" s="1077"/>
      <c r="AL156" s="1077"/>
      <c r="AM156" s="1077"/>
      <c r="AN156" s="1077"/>
      <c r="AO156" s="1077"/>
      <c r="AP156" s="1077"/>
      <c r="AQ156" s="1077"/>
      <c r="AR156" s="1077"/>
      <c r="AS156" s="1077"/>
      <c r="AT156" s="1077"/>
      <c r="AU156" s="1077"/>
      <c r="AV156" s="1077"/>
      <c r="AW156" s="1077"/>
      <c r="AX156" s="1077"/>
      <c r="AY156" s="1077"/>
      <c r="AZ156" s="1077"/>
      <c r="BA156" s="1077"/>
      <c r="DF156" s="124"/>
    </row>
    <row r="157" spans="3:134" ht="30" hidden="1" customHeight="1" x14ac:dyDescent="0.25">
      <c r="C157" s="73"/>
      <c r="D157" s="72"/>
      <c r="F157" s="124"/>
      <c r="G157" s="19"/>
      <c r="H157" s="12"/>
      <c r="I157" s="1001"/>
      <c r="J157" s="1001"/>
      <c r="K157" s="1001"/>
      <c r="M157" s="1001"/>
      <c r="N157" s="1001"/>
      <c r="O157" s="1001"/>
      <c r="P157" s="1001"/>
      <c r="Q157" s="1001"/>
      <c r="R157" s="1001"/>
      <c r="S157" s="1001"/>
      <c r="T157" s="1001"/>
      <c r="U157" s="1001"/>
      <c r="V157" s="1001"/>
      <c r="X157" s="1001"/>
      <c r="Y157" s="1001"/>
      <c r="Z157" s="1001"/>
      <c r="AA157" s="1001"/>
      <c r="AB157" s="126"/>
      <c r="AD157" s="727"/>
      <c r="AE157" s="727"/>
      <c r="AF157" s="727"/>
      <c r="AG157" s="727"/>
      <c r="AI157" s="1001" t="s">
        <v>460</v>
      </c>
      <c r="AJ157" s="1001"/>
      <c r="AK157" s="1001"/>
      <c r="AL157" s="1001"/>
      <c r="AN157" s="1001" t="s">
        <v>461</v>
      </c>
      <c r="AO157" s="1001"/>
      <c r="AP157" s="1001"/>
      <c r="AQ157" s="1001"/>
      <c r="AS157" s="1001" t="s">
        <v>462</v>
      </c>
      <c r="AT157" s="1001"/>
      <c r="AU157" s="1001"/>
      <c r="AV157" s="1001"/>
      <c r="AX157" s="1114" t="s">
        <v>643</v>
      </c>
      <c r="AY157" s="1114"/>
      <c r="AZ157" s="1114"/>
      <c r="BA157" s="1114"/>
      <c r="DF157" s="124"/>
    </row>
    <row r="158" spans="3:134" ht="15" hidden="1" customHeight="1" x14ac:dyDescent="0.25">
      <c r="C158" s="73"/>
      <c r="D158" s="72"/>
      <c r="F158" s="124"/>
      <c r="H158" s="12"/>
      <c r="I158" s="1094"/>
      <c r="J158" s="1094"/>
      <c r="K158" s="1094"/>
      <c r="L158" s="28"/>
      <c r="M158" s="1083"/>
      <c r="N158" s="1083"/>
      <c r="O158" s="1083"/>
      <c r="P158" s="1083"/>
      <c r="Q158" s="1083"/>
      <c r="R158" s="1083"/>
      <c r="S158" s="1083"/>
      <c r="T158" s="1083"/>
      <c r="U158" s="1083"/>
      <c r="V158" s="1083"/>
      <c r="W158" s="28"/>
      <c r="X158" s="1081"/>
      <c r="Y158" s="1081"/>
      <c r="Z158" s="1081"/>
      <c r="AA158" s="1081"/>
      <c r="AB158" s="28"/>
      <c r="AC158" s="28"/>
      <c r="AD158" s="1081"/>
      <c r="AE158" s="1081"/>
      <c r="AF158" s="1081"/>
      <c r="AG158" s="1081"/>
      <c r="AH158" s="28"/>
      <c r="AI158" s="1081"/>
      <c r="AJ158" s="1081"/>
      <c r="AK158" s="1081"/>
      <c r="AL158" s="1081"/>
      <c r="AM158" s="28"/>
      <c r="AN158" s="1081"/>
      <c r="AO158" s="1081"/>
      <c r="AP158" s="1081"/>
      <c r="AQ158" s="1081"/>
      <c r="AR158" s="28"/>
      <c r="AS158" s="1081"/>
      <c r="AT158" s="1081"/>
      <c r="AU158" s="1081"/>
      <c r="AV158" s="1081"/>
      <c r="AX158" s="1031" t="str">
        <f>IF(AND(AI158="",AN158="",AS158=""),"",SUM(AI158,AN158,AS158))</f>
        <v/>
      </c>
      <c r="AY158" s="1031"/>
      <c r="AZ158" s="1031"/>
      <c r="BA158" s="1031"/>
      <c r="DF158" s="124"/>
    </row>
    <row r="159" spans="3:134" ht="15" hidden="1" customHeight="1" x14ac:dyDescent="0.25">
      <c r="C159" s="73"/>
      <c r="D159" s="72"/>
      <c r="F159" s="124"/>
      <c r="G159" s="19"/>
      <c r="H159" s="12"/>
      <c r="I159" s="1094"/>
      <c r="J159" s="1094"/>
      <c r="K159" s="1094"/>
      <c r="L159" s="28"/>
      <c r="M159" s="1083"/>
      <c r="N159" s="1083"/>
      <c r="O159" s="1083"/>
      <c r="P159" s="1083"/>
      <c r="Q159" s="1083"/>
      <c r="R159" s="1083"/>
      <c r="S159" s="1083"/>
      <c r="T159" s="1083"/>
      <c r="U159" s="1083"/>
      <c r="V159" s="1083"/>
      <c r="W159" s="28"/>
      <c r="X159" s="1081"/>
      <c r="Y159" s="1081"/>
      <c r="Z159" s="1081"/>
      <c r="AA159" s="1081"/>
      <c r="AB159" s="28"/>
      <c r="AC159" s="28"/>
      <c r="AD159" s="1081"/>
      <c r="AE159" s="1081"/>
      <c r="AF159" s="1081"/>
      <c r="AG159" s="1081"/>
      <c r="AH159" s="28"/>
      <c r="AI159" s="1081"/>
      <c r="AJ159" s="1081"/>
      <c r="AK159" s="1081"/>
      <c r="AL159" s="1081"/>
      <c r="AM159" s="28"/>
      <c r="AN159" s="1081"/>
      <c r="AO159" s="1081"/>
      <c r="AP159" s="1081"/>
      <c r="AQ159" s="1081"/>
      <c r="AR159" s="28"/>
      <c r="AS159" s="1081"/>
      <c r="AT159" s="1081"/>
      <c r="AU159" s="1081"/>
      <c r="AV159" s="1081"/>
      <c r="AX159" s="1031" t="str">
        <f t="shared" ref="AX159:AX164" si="23">IF(AND(AI159="",AN159="",AS159=""),"",SUM(AI159,AN159,AS159))</f>
        <v/>
      </c>
      <c r="AY159" s="1031"/>
      <c r="AZ159" s="1031"/>
      <c r="BA159" s="1031"/>
      <c r="DF159" s="124"/>
    </row>
    <row r="160" spans="3:134" ht="15" hidden="1" customHeight="1" x14ac:dyDescent="0.25">
      <c r="C160" s="73"/>
      <c r="D160" s="72"/>
      <c r="F160" s="124"/>
      <c r="G160" s="19"/>
      <c r="H160" s="12"/>
      <c r="I160" s="1094"/>
      <c r="J160" s="1094"/>
      <c r="K160" s="1094"/>
      <c r="L160" s="28"/>
      <c r="M160" s="1083"/>
      <c r="N160" s="1083"/>
      <c r="O160" s="1083"/>
      <c r="P160" s="1083"/>
      <c r="Q160" s="1083"/>
      <c r="R160" s="1083"/>
      <c r="S160" s="1083"/>
      <c r="T160" s="1083"/>
      <c r="U160" s="1083"/>
      <c r="V160" s="1083"/>
      <c r="W160" s="28"/>
      <c r="X160" s="1081"/>
      <c r="Y160" s="1081"/>
      <c r="Z160" s="1081"/>
      <c r="AA160" s="1081"/>
      <c r="AB160" s="28"/>
      <c r="AC160" s="28"/>
      <c r="AD160" s="1081"/>
      <c r="AE160" s="1081"/>
      <c r="AF160" s="1081"/>
      <c r="AG160" s="1081"/>
      <c r="AH160" s="28"/>
      <c r="AI160" s="1081"/>
      <c r="AJ160" s="1081"/>
      <c r="AK160" s="1081"/>
      <c r="AL160" s="1081"/>
      <c r="AM160" s="28"/>
      <c r="AN160" s="1081"/>
      <c r="AO160" s="1081"/>
      <c r="AP160" s="1081"/>
      <c r="AQ160" s="1081"/>
      <c r="AR160" s="28"/>
      <c r="AS160" s="1081"/>
      <c r="AT160" s="1081"/>
      <c r="AU160" s="1081"/>
      <c r="AV160" s="1081"/>
      <c r="AX160" s="1031" t="str">
        <f t="shared" si="23"/>
        <v/>
      </c>
      <c r="AY160" s="1031"/>
      <c r="AZ160" s="1031"/>
      <c r="BA160" s="1031"/>
      <c r="DF160" s="124"/>
    </row>
    <row r="161" spans="1:154" ht="15" hidden="1" customHeight="1" x14ac:dyDescent="0.25">
      <c r="C161" s="73"/>
      <c r="D161" s="72"/>
      <c r="F161" s="124"/>
      <c r="G161" s="19"/>
      <c r="H161" s="12"/>
      <c r="I161" s="1094"/>
      <c r="J161" s="1094"/>
      <c r="K161" s="1094"/>
      <c r="L161" s="28"/>
      <c r="M161" s="1083"/>
      <c r="N161" s="1083"/>
      <c r="O161" s="1083"/>
      <c r="P161" s="1083"/>
      <c r="Q161" s="1083"/>
      <c r="R161" s="1083"/>
      <c r="S161" s="1083"/>
      <c r="T161" s="1083"/>
      <c r="U161" s="1083"/>
      <c r="V161" s="1083"/>
      <c r="W161" s="28"/>
      <c r="X161" s="1081"/>
      <c r="Y161" s="1081"/>
      <c r="Z161" s="1081"/>
      <c r="AA161" s="1081"/>
      <c r="AB161" s="28"/>
      <c r="AC161" s="28"/>
      <c r="AD161" s="1081"/>
      <c r="AE161" s="1081"/>
      <c r="AF161" s="1081"/>
      <c r="AG161" s="1081"/>
      <c r="AH161" s="28"/>
      <c r="AI161" s="1081"/>
      <c r="AJ161" s="1081"/>
      <c r="AK161" s="1081"/>
      <c r="AL161" s="1081"/>
      <c r="AM161" s="28"/>
      <c r="AN161" s="1081"/>
      <c r="AO161" s="1081"/>
      <c r="AP161" s="1081"/>
      <c r="AQ161" s="1081"/>
      <c r="AR161" s="28"/>
      <c r="AS161" s="1081"/>
      <c r="AT161" s="1081"/>
      <c r="AU161" s="1081"/>
      <c r="AV161" s="1081"/>
      <c r="AX161" s="1031" t="str">
        <f t="shared" si="23"/>
        <v/>
      </c>
      <c r="AY161" s="1031"/>
      <c r="AZ161" s="1031"/>
      <c r="BA161" s="1031"/>
      <c r="DF161" s="124"/>
    </row>
    <row r="162" spans="1:154" ht="15" hidden="1" customHeight="1" x14ac:dyDescent="0.25">
      <c r="C162" s="73"/>
      <c r="D162" s="72"/>
      <c r="F162" s="124"/>
      <c r="G162" s="19"/>
      <c r="H162" s="12"/>
      <c r="I162" s="1094"/>
      <c r="J162" s="1094"/>
      <c r="K162" s="1094"/>
      <c r="L162" s="28"/>
      <c r="M162" s="1083"/>
      <c r="N162" s="1083"/>
      <c r="O162" s="1083"/>
      <c r="P162" s="1083"/>
      <c r="Q162" s="1083"/>
      <c r="R162" s="1083"/>
      <c r="S162" s="1083"/>
      <c r="T162" s="1083"/>
      <c r="U162" s="1083"/>
      <c r="V162" s="1083"/>
      <c r="W162" s="28"/>
      <c r="X162" s="1081"/>
      <c r="Y162" s="1081"/>
      <c r="Z162" s="1081"/>
      <c r="AA162" s="1081"/>
      <c r="AB162" s="28"/>
      <c r="AC162" s="28"/>
      <c r="AD162" s="1081"/>
      <c r="AE162" s="1081"/>
      <c r="AF162" s="1081"/>
      <c r="AG162" s="1081"/>
      <c r="AH162" s="28"/>
      <c r="AI162" s="1081"/>
      <c r="AJ162" s="1081"/>
      <c r="AK162" s="1081"/>
      <c r="AL162" s="1081"/>
      <c r="AM162" s="28"/>
      <c r="AN162" s="1081"/>
      <c r="AO162" s="1081"/>
      <c r="AP162" s="1081"/>
      <c r="AQ162" s="1081"/>
      <c r="AR162" s="28"/>
      <c r="AS162" s="1081"/>
      <c r="AT162" s="1081"/>
      <c r="AU162" s="1081"/>
      <c r="AV162" s="1081"/>
      <c r="AX162" s="1031" t="str">
        <f t="shared" si="23"/>
        <v/>
      </c>
      <c r="AY162" s="1031"/>
      <c r="AZ162" s="1031"/>
      <c r="BA162" s="1031"/>
      <c r="DF162" s="124"/>
    </row>
    <row r="163" spans="1:154" ht="15" hidden="1" customHeight="1" x14ac:dyDescent="0.25">
      <c r="C163" s="73"/>
      <c r="D163" s="72"/>
      <c r="F163" s="124"/>
      <c r="G163" s="19"/>
      <c r="H163" s="12"/>
      <c r="I163" s="1094"/>
      <c r="J163" s="1094"/>
      <c r="K163" s="1094"/>
      <c r="L163" s="28"/>
      <c r="M163" s="1083"/>
      <c r="N163" s="1083"/>
      <c r="O163" s="1083"/>
      <c r="P163" s="1083"/>
      <c r="Q163" s="1083"/>
      <c r="R163" s="1083"/>
      <c r="S163" s="1083"/>
      <c r="T163" s="1083"/>
      <c r="U163" s="1083"/>
      <c r="V163" s="1083"/>
      <c r="W163" s="28"/>
      <c r="X163" s="1081"/>
      <c r="Y163" s="1081"/>
      <c r="Z163" s="1081"/>
      <c r="AA163" s="1081"/>
      <c r="AB163" s="28"/>
      <c r="AC163" s="28"/>
      <c r="AD163" s="1081"/>
      <c r="AE163" s="1081"/>
      <c r="AF163" s="1081"/>
      <c r="AG163" s="1081"/>
      <c r="AH163" s="28"/>
      <c r="AI163" s="1081"/>
      <c r="AJ163" s="1081"/>
      <c r="AK163" s="1081"/>
      <c r="AL163" s="1081"/>
      <c r="AM163" s="28"/>
      <c r="AN163" s="1081"/>
      <c r="AO163" s="1081"/>
      <c r="AP163" s="1081"/>
      <c r="AQ163" s="1081"/>
      <c r="AR163" s="28"/>
      <c r="AS163" s="1081"/>
      <c r="AT163" s="1081"/>
      <c r="AU163" s="1081"/>
      <c r="AV163" s="1081"/>
      <c r="AX163" s="1031" t="str">
        <f t="shared" si="23"/>
        <v/>
      </c>
      <c r="AY163" s="1031"/>
      <c r="AZ163" s="1031"/>
      <c r="BA163" s="1031"/>
      <c r="DF163" s="124"/>
    </row>
    <row r="164" spans="1:154" ht="15" hidden="1" customHeight="1" x14ac:dyDescent="0.25">
      <c r="C164" s="73"/>
      <c r="D164" s="72"/>
      <c r="F164" s="124"/>
      <c r="G164" s="19"/>
      <c r="H164" s="12"/>
      <c r="I164" s="1094"/>
      <c r="J164" s="1094"/>
      <c r="K164" s="1094"/>
      <c r="L164" s="28"/>
      <c r="M164" s="1083"/>
      <c r="N164" s="1083"/>
      <c r="O164" s="1083"/>
      <c r="P164" s="1083"/>
      <c r="Q164" s="1083"/>
      <c r="R164" s="1083"/>
      <c r="S164" s="1083"/>
      <c r="T164" s="1083"/>
      <c r="U164" s="1083"/>
      <c r="V164" s="1083"/>
      <c r="W164" s="28"/>
      <c r="X164" s="1081"/>
      <c r="Y164" s="1081"/>
      <c r="Z164" s="1081"/>
      <c r="AA164" s="1081"/>
      <c r="AB164" s="28"/>
      <c r="AC164" s="28"/>
      <c r="AD164" s="1081"/>
      <c r="AE164" s="1081"/>
      <c r="AF164" s="1081"/>
      <c r="AG164" s="1081"/>
      <c r="AH164" s="28"/>
      <c r="AI164" s="1081"/>
      <c r="AJ164" s="1081"/>
      <c r="AK164" s="1081"/>
      <c r="AL164" s="1081"/>
      <c r="AM164" s="28"/>
      <c r="AN164" s="1081"/>
      <c r="AO164" s="1081"/>
      <c r="AP164" s="1081"/>
      <c r="AQ164" s="1081"/>
      <c r="AR164" s="28"/>
      <c r="AS164" s="1081"/>
      <c r="AT164" s="1081"/>
      <c r="AU164" s="1081"/>
      <c r="AV164" s="1081"/>
      <c r="AX164" s="1031" t="str">
        <f t="shared" si="23"/>
        <v/>
      </c>
      <c r="AY164" s="1031"/>
      <c r="AZ164" s="1031"/>
      <c r="BA164" s="1031"/>
      <c r="DF164" s="124"/>
    </row>
    <row r="165" spans="1:154" ht="15" hidden="1" customHeight="1" x14ac:dyDescent="0.25">
      <c r="F165" s="124"/>
      <c r="G165" s="19"/>
      <c r="DF165" s="124"/>
    </row>
    <row r="166" spans="1:154" ht="15" hidden="1" customHeight="1" x14ac:dyDescent="0.25">
      <c r="F166" s="124"/>
      <c r="G166" s="19"/>
      <c r="I166" s="1082" t="s">
        <v>276</v>
      </c>
      <c r="J166" s="1082"/>
      <c r="K166" s="1082"/>
      <c r="L166" s="1082"/>
      <c r="M166" s="1082"/>
      <c r="N166" s="1082"/>
      <c r="O166" s="1082"/>
      <c r="P166" s="1082"/>
      <c r="Q166" s="1082"/>
      <c r="R166" s="1082"/>
      <c r="S166" s="1082"/>
      <c r="T166" s="1082"/>
      <c r="U166" s="1082"/>
      <c r="V166" s="1082"/>
      <c r="W166" s="1082"/>
      <c r="X166" s="1031" t="str">
        <f>IF(COUNTBLANK(X158:X164)=7,"",SUM(X158:X164))</f>
        <v/>
      </c>
      <c r="Y166" s="1031"/>
      <c r="Z166" s="1031"/>
      <c r="AA166" s="1031"/>
      <c r="AB166" s="66"/>
      <c r="AC166" s="66"/>
      <c r="AD166" s="1031" t="str">
        <f>IF(COUNTBLANK(AD158:AD164)=7,"",SUM(AD158:AD164))</f>
        <v/>
      </c>
      <c r="AE166" s="1031"/>
      <c r="AF166" s="1031"/>
      <c r="AG166" s="1031"/>
      <c r="AH166" s="66"/>
      <c r="AI166" s="1031" t="str">
        <f>IF(COUNTBLANK(AI158:AI164)=7,"",SUM(AI158:AI164))</f>
        <v/>
      </c>
      <c r="AJ166" s="1031"/>
      <c r="AK166" s="1031"/>
      <c r="AL166" s="1031"/>
      <c r="AM166" s="66"/>
      <c r="AN166" s="1031" t="str">
        <f>IF(COUNTBLANK(AN158:AN164)=7,"",SUM(AN158:AN164))</f>
        <v/>
      </c>
      <c r="AO166" s="1031"/>
      <c r="AP166" s="1031"/>
      <c r="AQ166" s="1031"/>
      <c r="AR166" s="66"/>
      <c r="AS166" s="1031" t="str">
        <f>IF(COUNTBLANK(AS158:AS164)=7,"",SUM(AS158:AS164))</f>
        <v/>
      </c>
      <c r="AT166" s="1031"/>
      <c r="AU166" s="1031"/>
      <c r="AV166" s="1031"/>
      <c r="AX166" s="1031" t="str">
        <f>IF(COUNTBLANK(AX158:AX164)=7,"",SUM(AX158:AX164))</f>
        <v/>
      </c>
      <c r="AY166" s="1031"/>
      <c r="AZ166" s="1031"/>
      <c r="BA166" s="1031"/>
      <c r="DF166" s="124"/>
      <c r="DH166" s="158"/>
      <c r="DI166" s="159"/>
      <c r="DJ166" s="159"/>
      <c r="DK166" s="159"/>
      <c r="DL166" s="159"/>
      <c r="DM166" s="159"/>
      <c r="DN166" s="160"/>
      <c r="DY166" s="19"/>
    </row>
    <row r="167" spans="1:154" ht="15" customHeight="1" x14ac:dyDescent="0.25">
      <c r="F167" s="124"/>
      <c r="G167" s="19"/>
      <c r="I167" s="191"/>
      <c r="J167" s="191"/>
      <c r="K167" s="191"/>
      <c r="L167" s="191"/>
      <c r="M167" s="191"/>
      <c r="N167" s="191"/>
      <c r="O167" s="191"/>
      <c r="P167" s="191"/>
      <c r="Q167" s="191"/>
      <c r="R167" s="191"/>
      <c r="S167" s="191"/>
      <c r="T167" s="191"/>
      <c r="U167" s="191"/>
      <c r="V167" s="191"/>
      <c r="W167" s="191"/>
      <c r="DF167" s="124"/>
      <c r="DH167" s="164"/>
      <c r="DI167" s="1002" t="str">
        <f>'Données - Résidentiel'!BI74</f>
        <v>Taux rejets M.O.</v>
      </c>
      <c r="DJ167" s="1002"/>
      <c r="DK167" s="1002"/>
      <c r="DL167" s="1002"/>
      <c r="DM167" s="1002"/>
      <c r="DN167" s="165"/>
      <c r="DY167" s="19"/>
    </row>
    <row r="168" spans="1:154" ht="15" customHeight="1" x14ac:dyDescent="0.25">
      <c r="F168" s="124"/>
      <c r="G168" s="19"/>
      <c r="DF168" s="124"/>
      <c r="DH168" s="164"/>
      <c r="DI168" s="1033">
        <f>'Données - Résidentiel'!BI75</f>
        <v>0.04</v>
      </c>
      <c r="DJ168" s="1033"/>
      <c r="DK168" s="1033"/>
      <c r="DL168" s="1033"/>
      <c r="DM168" s="1033"/>
      <c r="DN168" s="165"/>
      <c r="DX168" s="19"/>
    </row>
    <row r="169" spans="1:154" ht="15" customHeight="1" thickBot="1" x14ac:dyDescent="0.3">
      <c r="C169" s="5" t="s">
        <v>440</v>
      </c>
      <c r="F169" s="124"/>
      <c r="J169" s="186" t="str">
        <f>CONCATENATE($B$2,".",$C169,".")</f>
        <v>3.2.2.</v>
      </c>
      <c r="K169" s="1070" t="s">
        <v>539</v>
      </c>
      <c r="L169" s="1070"/>
      <c r="M169" s="1070"/>
      <c r="N169" s="1070"/>
      <c r="O169" s="1070"/>
      <c r="P169" s="1070"/>
      <c r="Q169" s="1070"/>
      <c r="R169" s="1070"/>
      <c r="S169" s="1070"/>
      <c r="T169" s="1070"/>
      <c r="U169" s="1070"/>
      <c r="V169" s="1070"/>
      <c r="W169" s="1070"/>
      <c r="AM169" s="582"/>
      <c r="AN169" s="582"/>
      <c r="AO169" s="582"/>
      <c r="AP169" s="582"/>
      <c r="AQ169" s="582"/>
      <c r="AR169" s="582"/>
      <c r="AS169" s="582"/>
      <c r="AT169" s="582"/>
      <c r="AU169" s="582"/>
      <c r="AV169" s="582"/>
      <c r="AW169" s="582"/>
      <c r="AX169" s="582"/>
      <c r="AY169" s="582"/>
      <c r="AZ169" s="582"/>
      <c r="BA169" s="582"/>
      <c r="BB169" s="582"/>
      <c r="BC169" s="582"/>
      <c r="BD169" s="582"/>
      <c r="DF169" s="124"/>
      <c r="DH169" s="166"/>
      <c r="DI169" s="167"/>
      <c r="DJ169" s="167"/>
      <c r="DK169" s="167"/>
      <c r="DL169" s="167"/>
      <c r="DM169" s="167"/>
      <c r="DN169" s="168"/>
      <c r="DX169" s="19"/>
    </row>
    <row r="170" spans="1:154" ht="15" customHeight="1" x14ac:dyDescent="0.25">
      <c r="F170" s="124"/>
      <c r="I170" s="70"/>
      <c r="J170" s="100"/>
      <c r="K170" s="100"/>
      <c r="AM170" s="582"/>
      <c r="AN170" s="582"/>
      <c r="AO170" s="582"/>
      <c r="AP170" s="582"/>
      <c r="AQ170" s="582"/>
      <c r="AR170" s="582"/>
      <c r="AS170" s="582"/>
      <c r="AT170" s="582"/>
      <c r="AU170" s="582"/>
      <c r="AV170" s="582"/>
      <c r="AW170" s="582"/>
      <c r="AX170" s="582"/>
      <c r="AY170" s="582"/>
      <c r="AZ170" s="582"/>
      <c r="BA170" s="582"/>
      <c r="BB170" s="582"/>
      <c r="BC170" s="582"/>
      <c r="BD170" s="582"/>
      <c r="DF170" s="124"/>
      <c r="DX170" s="19"/>
    </row>
    <row r="171" spans="1:154" ht="15" customHeight="1" x14ac:dyDescent="0.25">
      <c r="A171" s="5" t="s">
        <v>482</v>
      </c>
      <c r="C171" s="73">
        <v>1</v>
      </c>
      <c r="F171" s="124"/>
      <c r="K171" s="175" t="str">
        <f>CONCATENATE($J$169,C171,".")</f>
        <v>3.2.2.1.</v>
      </c>
      <c r="L171" s="1022" t="str">
        <f>question_outil_utilisateur</f>
        <v>Quelles données souhaitez-vous utiliser dans les résultats ?</v>
      </c>
      <c r="M171" s="1022"/>
      <c r="N171" s="1022"/>
      <c r="O171" s="1022"/>
      <c r="P171" s="1022"/>
      <c r="Q171" s="1022"/>
      <c r="R171" s="1022"/>
      <c r="S171" s="1022"/>
      <c r="T171" s="1022"/>
      <c r="U171" s="1022"/>
      <c r="V171" s="1022"/>
      <c r="W171" s="1022"/>
      <c r="X171" s="1022"/>
      <c r="Y171" s="1022"/>
      <c r="Z171" s="1022"/>
      <c r="AA171" s="1022"/>
      <c r="AB171" s="1022"/>
      <c r="AC171" s="759"/>
      <c r="AD171" s="759"/>
      <c r="AE171" s="759"/>
      <c r="AF171" s="759"/>
      <c r="AG171" s="759"/>
      <c r="AH171" s="759"/>
      <c r="AI171" s="759"/>
      <c r="AJ171" s="759"/>
      <c r="AK171" s="759"/>
      <c r="AM171" s="582"/>
      <c r="AN171" s="582"/>
      <c r="AO171" s="582"/>
      <c r="AP171" s="582"/>
      <c r="AQ171" s="582"/>
      <c r="AR171" s="582"/>
      <c r="AS171" s="582"/>
      <c r="AT171" s="582"/>
      <c r="AU171" s="582"/>
      <c r="AV171" s="582"/>
      <c r="AW171" s="582"/>
      <c r="AX171" s="582"/>
      <c r="AY171" s="582"/>
      <c r="AZ171" s="582"/>
      <c r="BA171" s="582"/>
      <c r="BB171" s="582"/>
      <c r="BC171" s="582"/>
      <c r="BD171" s="582"/>
      <c r="DF171" s="124"/>
      <c r="DK171" s="125"/>
      <c r="DL171" s="125"/>
      <c r="DM171" s="125"/>
      <c r="DN171" s="125"/>
      <c r="DO171" s="125"/>
      <c r="DP171" s="125"/>
      <c r="DQ171" s="125"/>
      <c r="DR171" s="135"/>
      <c r="DS171" s="135"/>
      <c r="DT171" s="135"/>
      <c r="DU171" s="135"/>
      <c r="DV171" s="19"/>
      <c r="DW171" s="19"/>
      <c r="DX171" s="19"/>
    </row>
    <row r="172" spans="1:154" ht="15" customHeight="1" thickBot="1" x14ac:dyDescent="0.3">
      <c r="F172" s="124"/>
      <c r="AM172" s="582"/>
      <c r="AN172" s="582"/>
      <c r="AO172" s="582"/>
      <c r="AP172" s="582"/>
      <c r="AQ172" s="582"/>
      <c r="AR172" s="582"/>
      <c r="AS172" s="582"/>
      <c r="AT172" s="582"/>
      <c r="AU172" s="582"/>
      <c r="AV172" s="582"/>
      <c r="AW172" s="582"/>
      <c r="AX172" s="582"/>
      <c r="AY172" s="582"/>
      <c r="AZ172" s="582"/>
      <c r="BA172" s="582"/>
      <c r="BB172" s="582"/>
      <c r="BC172" s="582"/>
      <c r="BD172" s="582"/>
      <c r="DF172" s="124"/>
      <c r="DK172" s="125"/>
      <c r="DL172" s="125"/>
      <c r="DM172" s="125"/>
      <c r="DN172" s="125"/>
      <c r="DO172" s="125"/>
      <c r="DP172" s="125"/>
      <c r="DQ172" s="125"/>
      <c r="DR172" s="135"/>
      <c r="DS172" s="135"/>
      <c r="DT172" s="135"/>
      <c r="DU172" s="135"/>
      <c r="DV172" s="19"/>
      <c r="DW172" s="19"/>
      <c r="DX172" s="19"/>
    </row>
    <row r="173" spans="1:154" ht="15" customHeight="1" thickBot="1" x14ac:dyDescent="0.3">
      <c r="F173" s="124"/>
      <c r="DF173" s="124"/>
      <c r="DH173" s="106"/>
      <c r="DI173" s="107"/>
      <c r="DJ173" s="107"/>
      <c r="DK173" s="136"/>
      <c r="DL173" s="136"/>
      <c r="DM173" s="136"/>
      <c r="DN173" s="136"/>
      <c r="DO173" s="136"/>
      <c r="DP173" s="136"/>
      <c r="DQ173" s="136"/>
      <c r="DR173" s="137"/>
      <c r="DS173" s="137"/>
      <c r="DT173" s="137"/>
      <c r="DU173" s="137"/>
      <c r="DV173" s="23"/>
      <c r="DW173" s="23"/>
      <c r="DX173" s="23"/>
      <c r="DY173" s="107"/>
      <c r="DZ173" s="107"/>
      <c r="EA173" s="107"/>
      <c r="EB173" s="107"/>
      <c r="EC173" s="107"/>
      <c r="ED173" s="107"/>
      <c r="EE173" s="107"/>
      <c r="EF173" s="107"/>
      <c r="EG173" s="107"/>
      <c r="EH173" s="107"/>
      <c r="EI173" s="108"/>
      <c r="EJ173" s="106"/>
      <c r="EK173" s="107"/>
      <c r="EL173" s="107"/>
      <c r="EM173" s="107"/>
      <c r="EN173" s="107"/>
      <c r="EO173" s="107"/>
      <c r="EP173" s="107"/>
      <c r="EQ173" s="108"/>
    </row>
    <row r="174" spans="1:154" ht="15" customHeight="1" x14ac:dyDescent="0.25">
      <c r="C174" s="5">
        <v>2</v>
      </c>
      <c r="D174" s="5">
        <v>3</v>
      </c>
      <c r="F174" s="124"/>
      <c r="I174" s="19"/>
      <c r="K174" s="175" t="str">
        <f>CONCATENATE($J$169,C174,".")</f>
        <v>3.2.2.2.</v>
      </c>
      <c r="L174" s="1022" t="str">
        <f>txt_outil&amp;IF(ici_donnees_autres=menu_utilisateur,donnees_infos,donnees_calculs)</f>
        <v>Données suggérées par l'outil - UTILISÉES DANS LES RÉSULTATS</v>
      </c>
      <c r="M174" s="1022"/>
      <c r="N174" s="1022"/>
      <c r="O174" s="1022"/>
      <c r="P174" s="1022"/>
      <c r="Q174" s="1022"/>
      <c r="R174" s="1022"/>
      <c r="S174" s="1022"/>
      <c r="T174" s="1022"/>
      <c r="U174" s="1022"/>
      <c r="V174" s="1022"/>
      <c r="W174" s="1022"/>
      <c r="X174" s="1022"/>
      <c r="Y174" s="1022"/>
      <c r="Z174" s="1022"/>
      <c r="AA174" s="1022"/>
      <c r="AB174" s="1022"/>
      <c r="AC174" s="1022"/>
      <c r="AD174" s="1022"/>
      <c r="AE174" s="1022"/>
      <c r="AF174" s="19"/>
      <c r="AG174" s="19"/>
      <c r="AH174" s="175" t="str">
        <f>CONCATENATE($J$169,D174,".")</f>
        <v>3.2.2.3.</v>
      </c>
      <c r="AI174" s="1022" t="str">
        <f>txt_utilisateur&amp;IF(ici_donnees_autres=menu_utilisateur,donnees_calculs,donnees_infos)</f>
        <v xml:space="preserve">Données saisies par l'utilisateur (fournies à titre indicatif seulement) </v>
      </c>
      <c r="AJ174" s="1022"/>
      <c r="AK174" s="1022"/>
      <c r="AL174" s="1022"/>
      <c r="AM174" s="1022"/>
      <c r="AN174" s="1022"/>
      <c r="AO174" s="1022"/>
      <c r="AP174" s="1022"/>
      <c r="AQ174" s="1022"/>
      <c r="AR174" s="1022"/>
      <c r="AS174" s="1022"/>
      <c r="AT174" s="1022"/>
      <c r="AU174" s="1022"/>
      <c r="AV174" s="1022"/>
      <c r="AW174" s="1022"/>
      <c r="AX174" s="1022"/>
      <c r="AY174" s="1022"/>
      <c r="AZ174" s="1022"/>
      <c r="BA174" s="1022"/>
      <c r="BB174" s="1022"/>
      <c r="DF174" s="124"/>
      <c r="DH174" s="57"/>
      <c r="DK174" s="1110" t="s">
        <v>28</v>
      </c>
      <c r="DL174" s="1110"/>
      <c r="DM174" s="1110"/>
      <c r="DN174" s="1110"/>
      <c r="DO174" s="1110"/>
      <c r="DP174" s="1110"/>
      <c r="DQ174" s="1110"/>
      <c r="DR174" s="1110"/>
      <c r="DS174" s="1110"/>
      <c r="DT174" s="1110"/>
      <c r="DU174" s="1110"/>
      <c r="DV174" s="1110"/>
      <c r="DW174" s="1110"/>
      <c r="DX174" s="1110"/>
      <c r="DY174" s="1110"/>
      <c r="DZ174" s="1110"/>
      <c r="EA174" s="1110"/>
      <c r="EB174" s="1110"/>
      <c r="EC174" s="1110"/>
      <c r="ED174" s="1110"/>
      <c r="EE174" s="1110"/>
      <c r="EF174" s="1110"/>
      <c r="EG174" s="1110"/>
      <c r="EH174" s="1110"/>
      <c r="EI174" s="27"/>
      <c r="EJ174" s="57"/>
      <c r="EM174" s="1129" t="s">
        <v>20</v>
      </c>
      <c r="EN174" s="1129"/>
      <c r="EO174" s="1129"/>
      <c r="EP174" s="1129"/>
      <c r="EQ174" s="1130"/>
      <c r="ET174" s="106"/>
      <c r="EU174" s="107"/>
      <c r="EV174" s="107"/>
      <c r="EW174" s="107"/>
      <c r="EX174" s="108"/>
    </row>
    <row r="175" spans="1:154" ht="15" customHeight="1" x14ac:dyDescent="0.25">
      <c r="F175" s="124"/>
      <c r="I175" s="19"/>
      <c r="J175" s="73"/>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DF175" s="124"/>
      <c r="DH175" s="57"/>
      <c r="DK175" s="125"/>
      <c r="DL175" s="125"/>
      <c r="DM175" s="125"/>
      <c r="DN175" s="125"/>
      <c r="DO175" s="125"/>
      <c r="DP175" s="125"/>
      <c r="DQ175" s="125"/>
      <c r="DR175" s="135"/>
      <c r="DS175" s="135"/>
      <c r="DT175" s="135"/>
      <c r="DU175" s="135"/>
      <c r="DV175" s="19"/>
      <c r="DW175" s="19"/>
      <c r="DX175" s="19"/>
      <c r="EI175" s="27"/>
      <c r="EJ175" s="57"/>
      <c r="EQ175" s="27"/>
      <c r="ET175" s="57"/>
      <c r="EU175" s="192" t="s">
        <v>586</v>
      </c>
      <c r="EV175" s="192"/>
      <c r="EW175" s="192"/>
      <c r="EX175" s="27"/>
    </row>
    <row r="176" spans="1:154" ht="15" customHeight="1" x14ac:dyDescent="0.25">
      <c r="F176" s="124"/>
      <c r="I176" s="19"/>
      <c r="J176" s="73"/>
      <c r="L176" s="19"/>
      <c r="M176" s="19"/>
      <c r="N176" s="19"/>
      <c r="O176" s="19"/>
      <c r="P176" s="19"/>
      <c r="T176" s="1077" t="s">
        <v>478</v>
      </c>
      <c r="U176" s="1077"/>
      <c r="V176" s="1077"/>
      <c r="W176" s="1077"/>
      <c r="X176" s="1077"/>
      <c r="Y176" s="1077"/>
      <c r="Z176" s="1077"/>
      <c r="AA176" s="1077"/>
      <c r="AB176" s="1077"/>
      <c r="AC176" s="1077"/>
      <c r="AD176" s="1077"/>
      <c r="AS176" s="1077" t="s">
        <v>478</v>
      </c>
      <c r="AT176" s="1077"/>
      <c r="AU176" s="1077"/>
      <c r="AV176" s="1077"/>
      <c r="AW176" s="1077"/>
      <c r="AX176" s="1077"/>
      <c r="AY176" s="1077"/>
      <c r="AZ176" s="1077"/>
      <c r="BA176" s="1077"/>
      <c r="BB176" s="1077"/>
      <c r="BC176" s="1077"/>
      <c r="DF176" s="124"/>
      <c r="DH176" s="57"/>
      <c r="DK176" s="1077" t="s">
        <v>478</v>
      </c>
      <c r="DL176" s="1077"/>
      <c r="DM176" s="1077"/>
      <c r="DN176" s="1077"/>
      <c r="DO176" s="1077"/>
      <c r="DP176" s="1077"/>
      <c r="DQ176" s="1077"/>
      <c r="DR176" s="1077"/>
      <c r="DS176" s="1077"/>
      <c r="DT176" s="1077"/>
      <c r="DU176" s="1077"/>
      <c r="DV176" s="138"/>
      <c r="DW176" s="138"/>
      <c r="DX176" s="1077" t="s">
        <v>479</v>
      </c>
      <c r="DY176" s="1077"/>
      <c r="DZ176" s="1077"/>
      <c r="EA176" s="1077"/>
      <c r="EB176" s="1077"/>
      <c r="EC176" s="1077"/>
      <c r="ED176" s="1077"/>
      <c r="EE176" s="1077"/>
      <c r="EF176" s="1077"/>
      <c r="EG176" s="1077"/>
      <c r="EH176" s="1077"/>
      <c r="EI176" s="27"/>
      <c r="EJ176" s="57"/>
      <c r="EM176" s="699" t="s">
        <v>480</v>
      </c>
      <c r="EN176" s="699"/>
      <c r="EO176" s="699"/>
      <c r="EP176" s="699"/>
      <c r="EQ176" s="1115"/>
      <c r="ET176" s="57"/>
      <c r="EX176" s="27"/>
    </row>
    <row r="177" spans="6:154" ht="30" customHeight="1" x14ac:dyDescent="0.25">
      <c r="F177" s="124"/>
      <c r="I177" s="26"/>
      <c r="T177" s="1023" t="s">
        <v>618</v>
      </c>
      <c r="U177" s="1023"/>
      <c r="V177" s="1023"/>
      <c r="X177" s="1023" t="s">
        <v>619</v>
      </c>
      <c r="Y177" s="1023"/>
      <c r="Z177" s="1023"/>
      <c r="AB177" s="1023" t="s">
        <v>620</v>
      </c>
      <c r="AC177" s="1023"/>
      <c r="AD177" s="1023"/>
      <c r="AS177" s="1023" t="str">
        <f>T177</f>
        <v>Résidus verts (t)</v>
      </c>
      <c r="AT177" s="1023"/>
      <c r="AU177" s="1023"/>
      <c r="AW177" s="1023" t="str">
        <f>X177</f>
        <v>Résidus alim. (t)</v>
      </c>
      <c r="AX177" s="1023"/>
      <c r="AY177" s="1023"/>
      <c r="BA177" s="1023" t="str">
        <f>AB177</f>
        <v>Autres R.O. (t)</v>
      </c>
      <c r="BB177" s="1023"/>
      <c r="BC177" s="1023"/>
      <c r="DF177" s="124"/>
      <c r="DH177" s="57"/>
      <c r="DK177" s="1023" t="s">
        <v>417</v>
      </c>
      <c r="DL177" s="1023"/>
      <c r="DM177" s="1023"/>
      <c r="DO177" s="1023" t="s">
        <v>483</v>
      </c>
      <c r="DP177" s="1023"/>
      <c r="DQ177" s="1023"/>
      <c r="DS177" s="1023" t="s">
        <v>484</v>
      </c>
      <c r="DT177" s="1023"/>
      <c r="DU177" s="1023"/>
      <c r="DX177" s="1023" t="str">
        <f>DK177</f>
        <v>Résidus verts</v>
      </c>
      <c r="DY177" s="1023"/>
      <c r="DZ177" s="1023"/>
      <c r="EB177" s="1023" t="str">
        <f>DO177</f>
        <v>Résidus alim.</v>
      </c>
      <c r="EC177" s="1023"/>
      <c r="ED177" s="1023"/>
      <c r="EF177" s="1023" t="s">
        <v>484</v>
      </c>
      <c r="EG177" s="1023"/>
      <c r="EH177" s="1023"/>
      <c r="EI177" s="27"/>
      <c r="EJ177" s="57"/>
      <c r="EM177" s="121" t="str">
        <f>DK177</f>
        <v>Résidus verts</v>
      </c>
      <c r="EN177" s="26"/>
      <c r="EO177" s="121" t="str">
        <f>DO177</f>
        <v>Résidus alim.</v>
      </c>
      <c r="EP177" s="26"/>
      <c r="EQ177" s="122" t="str">
        <f>DS177</f>
        <v>Autres R.O.</v>
      </c>
      <c r="ET177" s="57"/>
      <c r="EU177" s="26" t="s">
        <v>587</v>
      </c>
      <c r="EV177" s="26" t="s">
        <v>588</v>
      </c>
      <c r="EW177" s="26" t="s">
        <v>280</v>
      </c>
      <c r="EX177" s="27"/>
    </row>
    <row r="178" spans="6:154" ht="15" customHeight="1" x14ac:dyDescent="0.25">
      <c r="F178" s="124"/>
      <c r="I178" s="701" t="s">
        <v>466</v>
      </c>
      <c r="J178" s="701"/>
      <c r="K178" s="701"/>
      <c r="L178" s="701"/>
      <c r="M178" s="701"/>
      <c r="N178" s="701"/>
      <c r="O178" s="701"/>
      <c r="P178" s="701"/>
      <c r="Q178" s="701"/>
      <c r="R178" s="701"/>
      <c r="S178" s="701"/>
      <c r="T178" s="1009" t="str">
        <f>IF(COUNTIF(T179:T183,N.D.)&gt;0,N.D.,SUM(T179:T183))</f>
        <v>N.D.</v>
      </c>
      <c r="U178" s="1009"/>
      <c r="V178" s="1009"/>
      <c r="W178" s="170"/>
      <c r="X178" s="1009" t="str">
        <f>IF(COUNTIF(X179:X183,N.D.)&gt;0,N.D.,SUM(X179:X183))</f>
        <v>N.D.</v>
      </c>
      <c r="Y178" s="1009"/>
      <c r="Z178" s="1009"/>
      <c r="AA178" s="170"/>
      <c r="AB178" s="1009" t="str">
        <f>IF(COUNTIF(AB179:AB183,N.D.)&gt;0,N.D.,SUM(AB179:AB183))</f>
        <v>N.D.</v>
      </c>
      <c r="AC178" s="1009"/>
      <c r="AD178" s="1009"/>
      <c r="AH178" s="701" t="str">
        <f t="shared" ref="AH178:AH194" si="24">I178</f>
        <v>Industriel</v>
      </c>
      <c r="AI178" s="701"/>
      <c r="AJ178" s="701"/>
      <c r="AK178" s="701"/>
      <c r="AL178" s="701"/>
      <c r="AM178" s="701"/>
      <c r="AN178" s="701"/>
      <c r="AO178" s="701"/>
      <c r="AP178" s="701"/>
      <c r="AQ178" s="701"/>
      <c r="AR178" s="701"/>
      <c r="AS178" s="1009" t="str">
        <f>IF(COUNTA(AS179:AS183)=0,"",IF(COUNTBLANK(AS179:AS183)&gt;0,N.D.,SUM(AS179:AS183)))</f>
        <v/>
      </c>
      <c r="AT178" s="1009"/>
      <c r="AU178" s="1009"/>
      <c r="AV178" s="170"/>
      <c r="AW178" s="1009" t="str">
        <f>IF(COUNTA(AW179:AW183)=0,"",IF(COUNTBLANK(AW179:AW183)&gt;0,N.D.,SUM(AW179:AW183)))</f>
        <v/>
      </c>
      <c r="AX178" s="1009"/>
      <c r="AY178" s="1009"/>
      <c r="AZ178" s="170"/>
      <c r="BA178" s="1009" t="str">
        <f>IF(COUNTA(BA179:BA183)=0,"",IF(COUNTBLANK(BA179:BA183)&gt;0,N.D.,SUM(BA179:BA183)))</f>
        <v/>
      </c>
      <c r="BB178" s="1009"/>
      <c r="BC178" s="1009"/>
      <c r="DF178" s="124"/>
      <c r="DH178" s="1006" t="s">
        <v>276</v>
      </c>
      <c r="DI178" s="699"/>
      <c r="DJ178" s="699"/>
      <c r="DK178" s="1005" t="str">
        <f>T194</f>
        <v>N.D.</v>
      </c>
      <c r="DL178" s="1005"/>
      <c r="DM178" s="1005"/>
      <c r="DN178" s="128"/>
      <c r="DO178" s="1005" t="str">
        <f>X194</f>
        <v>N.D.</v>
      </c>
      <c r="DP178" s="1005"/>
      <c r="DQ178" s="1005"/>
      <c r="DR178" s="92"/>
      <c r="DS178" s="1005" t="str">
        <f>AB194</f>
        <v>N.D.</v>
      </c>
      <c r="DT178" s="1005"/>
      <c r="DU178" s="1005"/>
      <c r="DV178" s="92"/>
      <c r="DW178" s="92"/>
      <c r="DX178" s="1005" t="str">
        <f>T215</f>
        <v>N.D.</v>
      </c>
      <c r="DY178" s="1005"/>
      <c r="DZ178" s="1005"/>
      <c r="EA178" s="92"/>
      <c r="EB178" s="1005" t="str">
        <f>X215</f>
        <v>N.D.</v>
      </c>
      <c r="EC178" s="1005"/>
      <c r="ED178" s="1005"/>
      <c r="EE178" s="92"/>
      <c r="EF178" s="1005" t="str">
        <f>AB215</f>
        <v>N.D.</v>
      </c>
      <c r="EG178" s="1005"/>
      <c r="EH178" s="1005"/>
      <c r="EI178" s="27"/>
      <c r="EJ178" s="57"/>
      <c r="EM178" s="91">
        <f>SUM(DK178,DX178)</f>
        <v>0</v>
      </c>
      <c r="EO178" s="91">
        <f>SUM(DO178,EB178)</f>
        <v>0</v>
      </c>
      <c r="EQ178" s="123">
        <f>SUM(DS178,EF178)</f>
        <v>0</v>
      </c>
      <c r="ET178" s="57"/>
      <c r="EU178" s="5" t="str">
        <f>IF(DK178=N.D.,N.D.,DK178*($DI$168))</f>
        <v>N.D.</v>
      </c>
      <c r="EV178" s="5" t="str">
        <f>IF(DO178=N.D.,N.D.,DO178*($DI$168))</f>
        <v>N.D.</v>
      </c>
      <c r="EW178" s="5" t="str">
        <f>IF(DS178=N.D.,N.D.,DS178*($DI$168))</f>
        <v>N.D.</v>
      </c>
      <c r="EX178" s="27"/>
    </row>
    <row r="179" spans="6:154" ht="15" customHeight="1" thickBot="1" x14ac:dyDescent="0.3">
      <c r="F179" s="124"/>
      <c r="I179" s="16" t="str">
        <f>puce1</f>
        <v>Ä</v>
      </c>
      <c r="J179" s="982" t="s">
        <v>467</v>
      </c>
      <c r="K179" s="982"/>
      <c r="L179" s="982"/>
      <c r="M179" s="982"/>
      <c r="N179" s="982"/>
      <c r="O179" s="982"/>
      <c r="P179" s="982"/>
      <c r="Q179" s="982"/>
      <c r="R179" s="982"/>
      <c r="S179" s="982"/>
      <c r="T179" s="1005" t="str">
        <f>IF(OR(gen_pop_RA="", gen_pop_MRC="",COUNTBLANK($Y$10:$Y$28)&gt;0),N.D.,DS$12)</f>
        <v>N.D.</v>
      </c>
      <c r="U179" s="1005"/>
      <c r="V179" s="1005"/>
      <c r="W179" s="128"/>
      <c r="X179" s="1005" t="str">
        <f>IF(OR(gen_pop_RA="", gen_pop_MRC="",COUNTBLANK($Y$10:$Y$28)&gt;0),N.D.,DT$12)</f>
        <v>N.D.</v>
      </c>
      <c r="Y179" s="1005"/>
      <c r="Z179" s="1005"/>
      <c r="AA179" s="128"/>
      <c r="AB179" s="1005" t="str">
        <f>IF(OR(gen_pop_RA="", gen_pop_MRC="",COUNTBLANK($Y$10:$Y$28)&gt;0),N.D.,DU$12)</f>
        <v>N.D.</v>
      </c>
      <c r="AC179" s="1005"/>
      <c r="AD179" s="1005"/>
      <c r="AH179" s="16" t="str">
        <f t="shared" si="24"/>
        <v>Ä</v>
      </c>
      <c r="AI179" s="982" t="str">
        <f>J179</f>
        <v>Agriculture</v>
      </c>
      <c r="AJ179" s="982"/>
      <c r="AK179" s="982"/>
      <c r="AL179" s="982"/>
      <c r="AM179" s="982"/>
      <c r="AN179" s="982"/>
      <c r="AO179" s="982"/>
      <c r="AP179" s="982"/>
      <c r="AQ179" s="982"/>
      <c r="AR179" s="982"/>
      <c r="AS179" s="1024"/>
      <c r="AT179" s="1024"/>
      <c r="AU179" s="1024"/>
      <c r="AV179" s="128"/>
      <c r="AW179" s="1024"/>
      <c r="AX179" s="1024"/>
      <c r="AY179" s="1024"/>
      <c r="AZ179" s="128"/>
      <c r="BA179" s="1024"/>
      <c r="BB179" s="1024"/>
      <c r="BC179" s="1024"/>
      <c r="DF179" s="124"/>
      <c r="DH179" s="58"/>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5"/>
      <c r="EJ179" s="58"/>
      <c r="EK179" s="34"/>
      <c r="EL179" s="34"/>
      <c r="EM179" s="34"/>
      <c r="EN179" s="34"/>
      <c r="EO179" s="34"/>
      <c r="EP179" s="34"/>
      <c r="EQ179" s="35"/>
      <c r="ET179" s="58"/>
      <c r="EU179" s="34"/>
      <c r="EV179" s="34"/>
      <c r="EW179" s="34"/>
      <c r="EX179" s="35"/>
    </row>
    <row r="180" spans="6:154" ht="30" customHeight="1" x14ac:dyDescent="0.25">
      <c r="F180" s="124"/>
      <c r="I180" s="16" t="str">
        <f>puce1</f>
        <v>Ä</v>
      </c>
      <c r="J180" s="982" t="s">
        <v>468</v>
      </c>
      <c r="K180" s="982"/>
      <c r="L180" s="982"/>
      <c r="M180" s="982"/>
      <c r="N180" s="982"/>
      <c r="O180" s="982"/>
      <c r="P180" s="982"/>
      <c r="Q180" s="982"/>
      <c r="R180" s="982"/>
      <c r="S180" s="982"/>
      <c r="T180" s="1005" t="str">
        <f>IF(OR(gen_pop_RA="", gen_pop_MRC="",COUNTBLANK($Y$10:$Y$28)&gt;0),N.D.,DS$13)</f>
        <v>N.D.</v>
      </c>
      <c r="U180" s="1005"/>
      <c r="V180" s="1005"/>
      <c r="W180" s="128"/>
      <c r="X180" s="1005" t="str">
        <f>IF(OR(gen_pop_RA="", gen_pop_MRC="",COUNTBLANK($Y$10:$Y$28)&gt;0),N.D.,DT$13)</f>
        <v>N.D.</v>
      </c>
      <c r="Y180" s="1005"/>
      <c r="Z180" s="1005"/>
      <c r="AA180" s="128"/>
      <c r="AB180" s="1005" t="str">
        <f>IF(OR(gen_pop_RA="", gen_pop_MRC="",COUNTBLANK($Y$10:$Y$28)&gt;0),N.D.,DU$13)</f>
        <v>N.D.</v>
      </c>
      <c r="AC180" s="1005"/>
      <c r="AD180" s="1005"/>
      <c r="AH180" s="16" t="str">
        <f t="shared" si="24"/>
        <v>Ä</v>
      </c>
      <c r="AI180" s="982" t="str">
        <f>J180</f>
        <v>Foresterie, pêche, mines et extraction de pétrole et de gaz</v>
      </c>
      <c r="AJ180" s="982"/>
      <c r="AK180" s="982"/>
      <c r="AL180" s="982"/>
      <c r="AM180" s="982"/>
      <c r="AN180" s="982"/>
      <c r="AO180" s="982"/>
      <c r="AP180" s="982"/>
      <c r="AQ180" s="982"/>
      <c r="AR180" s="982"/>
      <c r="AS180" s="1024"/>
      <c r="AT180" s="1024"/>
      <c r="AU180" s="1024"/>
      <c r="AV180" s="128"/>
      <c r="AW180" s="1024"/>
      <c r="AX180" s="1024"/>
      <c r="AY180" s="1024"/>
      <c r="AZ180" s="128"/>
      <c r="BA180" s="1024"/>
      <c r="BB180" s="1024"/>
      <c r="BC180" s="1024"/>
      <c r="DF180" s="124"/>
      <c r="DH180" s="106"/>
      <c r="DI180" s="107"/>
      <c r="DJ180" s="107"/>
      <c r="DK180" s="136"/>
      <c r="DL180" s="136"/>
      <c r="DM180" s="136"/>
      <c r="DN180" s="136"/>
      <c r="DO180" s="136"/>
      <c r="DP180" s="136"/>
      <c r="DQ180" s="136"/>
      <c r="DR180" s="137"/>
      <c r="DS180" s="137"/>
      <c r="DT180" s="137"/>
      <c r="DU180" s="137"/>
      <c r="DV180" s="23"/>
      <c r="DW180" s="23"/>
      <c r="DX180" s="23"/>
      <c r="DY180" s="107"/>
      <c r="DZ180" s="107"/>
      <c r="EA180" s="107"/>
      <c r="EB180" s="107"/>
      <c r="EC180" s="107"/>
      <c r="ED180" s="107"/>
      <c r="EE180" s="107"/>
      <c r="EF180" s="107"/>
      <c r="EG180" s="107"/>
      <c r="EH180" s="107"/>
      <c r="EI180" s="108"/>
      <c r="EJ180" s="107"/>
      <c r="EK180" s="107"/>
      <c r="EL180" s="107"/>
      <c r="EM180" s="107"/>
      <c r="EN180" s="107"/>
      <c r="EO180" s="107"/>
      <c r="EP180" s="107"/>
      <c r="EQ180" s="108"/>
    </row>
    <row r="181" spans="6:154" ht="15" customHeight="1" x14ac:dyDescent="0.25">
      <c r="F181" s="124"/>
      <c r="I181" s="16" t="str">
        <f>puce1</f>
        <v>Ä</v>
      </c>
      <c r="J181" s="982" t="s">
        <v>469</v>
      </c>
      <c r="K181" s="982"/>
      <c r="L181" s="982"/>
      <c r="M181" s="982"/>
      <c r="N181" s="982"/>
      <c r="O181" s="982"/>
      <c r="P181" s="982"/>
      <c r="Q181" s="982"/>
      <c r="R181" s="982"/>
      <c r="S181" s="982"/>
      <c r="T181" s="1005" t="str">
        <f>IF(OR(gen_pop_RA="", gen_pop_MRC="",COUNTBLANK($Y$10:$Y$28)&gt;0),N.D.,DS$16)</f>
        <v>N.D.</v>
      </c>
      <c r="U181" s="1005"/>
      <c r="V181" s="1005"/>
      <c r="W181" s="128"/>
      <c r="X181" s="1005" t="str">
        <f>IF(OR(gen_pop_RA="", gen_pop_MRC="",COUNTBLANK($Y$10:$Y$28)&gt;0),N.D.,DT$16)</f>
        <v>N.D.</v>
      </c>
      <c r="Y181" s="1005"/>
      <c r="Z181" s="1005"/>
      <c r="AA181" s="128"/>
      <c r="AB181" s="1005" t="str">
        <f>IF(OR(gen_pop_RA="", gen_pop_MRC="",COUNTBLANK($Y$10:$Y$28)&gt;0),N.D.,DU$16)</f>
        <v>N.D.</v>
      </c>
      <c r="AC181" s="1005"/>
      <c r="AD181" s="1005"/>
      <c r="AH181" s="16" t="str">
        <f t="shared" si="24"/>
        <v>Ä</v>
      </c>
      <c r="AI181" s="982" t="str">
        <f>J181</f>
        <v>Manufacturier</v>
      </c>
      <c r="AJ181" s="982"/>
      <c r="AK181" s="982"/>
      <c r="AL181" s="982"/>
      <c r="AM181" s="982"/>
      <c r="AN181" s="982"/>
      <c r="AO181" s="982"/>
      <c r="AP181" s="982"/>
      <c r="AQ181" s="982"/>
      <c r="AR181" s="982"/>
      <c r="AS181" s="1024"/>
      <c r="AT181" s="1024"/>
      <c r="AU181" s="1024"/>
      <c r="AV181" s="128"/>
      <c r="AW181" s="1024"/>
      <c r="AX181" s="1024"/>
      <c r="AY181" s="1024"/>
      <c r="AZ181" s="128"/>
      <c r="BA181" s="1024"/>
      <c r="BB181" s="1024"/>
      <c r="BC181" s="1024"/>
      <c r="DF181" s="124"/>
      <c r="DH181" s="57"/>
      <c r="DK181" s="1110" t="str">
        <f>"Outil - ajusté rejets centre de tri - taux = "&amp;DI168*100&amp;" %."</f>
        <v>Outil - ajusté rejets centre de tri - taux = 4 %.</v>
      </c>
      <c r="DL181" s="1110"/>
      <c r="DM181" s="1110"/>
      <c r="DN181" s="1110"/>
      <c r="DO181" s="1110"/>
      <c r="DP181" s="1110"/>
      <c r="DQ181" s="1110"/>
      <c r="DR181" s="1110"/>
      <c r="DS181" s="1110"/>
      <c r="DT181" s="1110"/>
      <c r="DU181" s="1110"/>
      <c r="DV181" s="1110"/>
      <c r="DW181" s="1110"/>
      <c r="DX181" s="1110"/>
      <c r="DY181" s="1110"/>
      <c r="DZ181" s="1110"/>
      <c r="EA181" s="1110"/>
      <c r="EB181" s="1110"/>
      <c r="EC181" s="1110"/>
      <c r="ED181" s="1110"/>
      <c r="EE181" s="1110"/>
      <c r="EF181" s="1110"/>
      <c r="EG181" s="1110"/>
      <c r="EH181" s="1110"/>
      <c r="EI181" s="27"/>
      <c r="EQ181" s="27"/>
    </row>
    <row r="182" spans="6:154" ht="15" customHeight="1" x14ac:dyDescent="0.25">
      <c r="F182" s="124"/>
      <c r="I182" s="16" t="str">
        <f>puce1</f>
        <v>Ä</v>
      </c>
      <c r="J182" s="982" t="s">
        <v>470</v>
      </c>
      <c r="K182" s="982"/>
      <c r="L182" s="982"/>
      <c r="M182" s="982"/>
      <c r="N182" s="982"/>
      <c r="O182" s="982"/>
      <c r="P182" s="982"/>
      <c r="Q182" s="982"/>
      <c r="R182" s="982"/>
      <c r="S182" s="982"/>
      <c r="T182" s="1005" t="str">
        <f>IF(OR(gen_pop_RA="", gen_pop_MRC="",COUNTBLANK($Y$10:$Y$28)&gt;0),N.D.,DS$14)</f>
        <v>N.D.</v>
      </c>
      <c r="U182" s="1005"/>
      <c r="V182" s="1005"/>
      <c r="W182" s="128"/>
      <c r="X182" s="1005" t="str">
        <f>IF(OR(gen_pop_RA="", gen_pop_MRC="",COUNTBLANK($Y$10:$Y$28)&gt;0),N.D.,DT$14)</f>
        <v>N.D.</v>
      </c>
      <c r="Y182" s="1005"/>
      <c r="Z182" s="1005"/>
      <c r="AA182" s="128"/>
      <c r="AB182" s="1005" t="str">
        <f>IF(OR(gen_pop_RA="", gen_pop_MRC="",COUNTBLANK($Y$10:$Y$28)&gt;0),N.D.,DU$14)</f>
        <v>N.D.</v>
      </c>
      <c r="AC182" s="1005"/>
      <c r="AD182" s="1005"/>
      <c r="AH182" s="16" t="str">
        <f t="shared" si="24"/>
        <v>Ä</v>
      </c>
      <c r="AI182" s="982" t="str">
        <f>J182</f>
        <v>Utilités publiques</v>
      </c>
      <c r="AJ182" s="982"/>
      <c r="AK182" s="982"/>
      <c r="AL182" s="982"/>
      <c r="AM182" s="982"/>
      <c r="AN182" s="982"/>
      <c r="AO182" s="982"/>
      <c r="AP182" s="982"/>
      <c r="AQ182" s="982"/>
      <c r="AR182" s="982"/>
      <c r="AS182" s="1024"/>
      <c r="AT182" s="1024"/>
      <c r="AU182" s="1024"/>
      <c r="AV182" s="128"/>
      <c r="AW182" s="1024"/>
      <c r="AX182" s="1024"/>
      <c r="AY182" s="1024"/>
      <c r="AZ182" s="128"/>
      <c r="BA182" s="1024"/>
      <c r="BB182" s="1024"/>
      <c r="BC182" s="1024"/>
      <c r="DF182" s="124"/>
      <c r="DH182" s="57"/>
      <c r="DK182" s="125"/>
      <c r="DL182" s="125"/>
      <c r="DM182" s="125"/>
      <c r="DN182" s="125"/>
      <c r="DO182" s="125"/>
      <c r="DP182" s="125"/>
      <c r="DQ182" s="125"/>
      <c r="DR182" s="135"/>
      <c r="DS182" s="135"/>
      <c r="DT182" s="135"/>
      <c r="DU182" s="135"/>
      <c r="DV182" s="19"/>
      <c r="DW182" s="19"/>
      <c r="DX182" s="19"/>
      <c r="EI182" s="27"/>
      <c r="EQ182" s="27"/>
    </row>
    <row r="183" spans="6:154" ht="15" customHeight="1" x14ac:dyDescent="0.25">
      <c r="F183" s="124"/>
      <c r="I183" s="16" t="str">
        <f>puce1</f>
        <v>Ä</v>
      </c>
      <c r="J183" s="982" t="s">
        <v>471</v>
      </c>
      <c r="K183" s="982"/>
      <c r="L183" s="982"/>
      <c r="M183" s="982"/>
      <c r="N183" s="982"/>
      <c r="O183" s="982"/>
      <c r="P183" s="982"/>
      <c r="Q183" s="982"/>
      <c r="R183" s="982"/>
      <c r="S183" s="982"/>
      <c r="T183" s="1005" t="str">
        <f>IF(OR(gen_pop_RA="", gen_pop_MRC="",COUNTBLANK($Y$10:$Y$28)&gt;0),N.D.,DS$19)</f>
        <v>N.D.</v>
      </c>
      <c r="U183" s="1005"/>
      <c r="V183" s="1005"/>
      <c r="W183" s="128"/>
      <c r="X183" s="1005" t="str">
        <f>IF(OR(gen_pop_RA="", gen_pop_MRC="",COUNTBLANK($Y$10:$Y$28)&gt;0),N.D.,DT$19)</f>
        <v>N.D.</v>
      </c>
      <c r="Y183" s="1005"/>
      <c r="Z183" s="1005"/>
      <c r="AA183" s="128"/>
      <c r="AB183" s="1005" t="str">
        <f>IF(OR(gen_pop_RA="", gen_pop_MRC="",COUNTBLANK($Y$10:$Y$28)&gt;0),N.D.,DU$19)</f>
        <v>N.D.</v>
      </c>
      <c r="AC183" s="1005"/>
      <c r="AD183" s="1005"/>
      <c r="AH183" s="16" t="str">
        <f t="shared" si="24"/>
        <v>Ä</v>
      </c>
      <c r="AI183" s="982" t="str">
        <f>J183</f>
        <v>Transport et entreposage</v>
      </c>
      <c r="AJ183" s="982"/>
      <c r="AK183" s="982"/>
      <c r="AL183" s="982"/>
      <c r="AM183" s="982"/>
      <c r="AN183" s="982"/>
      <c r="AO183" s="982"/>
      <c r="AP183" s="982"/>
      <c r="AQ183" s="982"/>
      <c r="AR183" s="982"/>
      <c r="AS183" s="1024"/>
      <c r="AT183" s="1024"/>
      <c r="AU183" s="1024"/>
      <c r="AV183" s="128"/>
      <c r="AW183" s="1024"/>
      <c r="AX183" s="1024"/>
      <c r="AY183" s="1024"/>
      <c r="AZ183" s="128"/>
      <c r="BA183" s="1024"/>
      <c r="BB183" s="1024"/>
      <c r="BC183" s="1024"/>
      <c r="DF183" s="124"/>
      <c r="DH183" s="57"/>
      <c r="DK183" s="1077" t="s">
        <v>478</v>
      </c>
      <c r="DL183" s="1077"/>
      <c r="DM183" s="1077"/>
      <c r="DN183" s="1077"/>
      <c r="DO183" s="1077"/>
      <c r="DP183" s="1077"/>
      <c r="DQ183" s="1077"/>
      <c r="DR183" s="1077"/>
      <c r="DS183" s="1077"/>
      <c r="DT183" s="1077"/>
      <c r="DU183" s="1077"/>
      <c r="DV183" s="138"/>
      <c r="DW183" s="138"/>
      <c r="DX183" s="1077" t="s">
        <v>479</v>
      </c>
      <c r="DY183" s="1077"/>
      <c r="DZ183" s="1077"/>
      <c r="EA183" s="1077"/>
      <c r="EB183" s="1077"/>
      <c r="EC183" s="1077"/>
      <c r="ED183" s="1077"/>
      <c r="EE183" s="1077"/>
      <c r="EF183" s="1077"/>
      <c r="EG183" s="1077"/>
      <c r="EH183" s="1077"/>
      <c r="EI183" s="27"/>
    </row>
    <row r="184" spans="6:154" ht="15" customHeight="1" x14ac:dyDescent="0.25">
      <c r="F184" s="124"/>
      <c r="I184" s="701" t="s">
        <v>477</v>
      </c>
      <c r="J184" s="701"/>
      <c r="K184" s="701"/>
      <c r="L184" s="701"/>
      <c r="M184" s="701"/>
      <c r="N184" s="701"/>
      <c r="O184" s="701"/>
      <c r="P184" s="701"/>
      <c r="Q184" s="701"/>
      <c r="R184" s="701"/>
      <c r="S184" s="701"/>
      <c r="T184" s="1009" t="str">
        <f>IF(COUNTIF(T185:T186,N.D.)&gt;0,N.D.,SUM(T185:T186))</f>
        <v>N.D.</v>
      </c>
      <c r="U184" s="1009"/>
      <c r="V184" s="1009"/>
      <c r="W184" s="171"/>
      <c r="X184" s="1009" t="str">
        <f>IF(COUNTIF(X185:X186,N.D.)&gt;0,N.D.,SUM(X185:X186))</f>
        <v>N.D.</v>
      </c>
      <c r="Y184" s="1009"/>
      <c r="Z184" s="1009"/>
      <c r="AA184" s="171"/>
      <c r="AB184" s="1009" t="str">
        <f>IF(COUNTIF(AB185:AB186,N.D.)&gt;0,N.D.,SUM(AB185:AB186))</f>
        <v>N.D.</v>
      </c>
      <c r="AC184" s="1009"/>
      <c r="AD184" s="1009"/>
      <c r="AH184" s="701" t="str">
        <f t="shared" si="24"/>
        <v>Commercial</v>
      </c>
      <c r="AI184" s="701"/>
      <c r="AJ184" s="701"/>
      <c r="AK184" s="701"/>
      <c r="AL184" s="701"/>
      <c r="AM184" s="701"/>
      <c r="AN184" s="701"/>
      <c r="AO184" s="701"/>
      <c r="AP184" s="701"/>
      <c r="AQ184" s="701"/>
      <c r="AR184" s="701"/>
      <c r="AS184" s="1009" t="str">
        <f>IF(COUNTA(AS185:AS186)=0,"",IF(COUNTBLANK(AS185:AS186)&gt;0,N.D.,SUM(AS185:AS186)))</f>
        <v/>
      </c>
      <c r="AT184" s="1009"/>
      <c r="AU184" s="1009"/>
      <c r="AV184" s="171"/>
      <c r="AW184" s="1009" t="str">
        <f>IF(COUNTA(AW185:AW186)=0,"",IF(COUNTBLANK(AW185:AW186)&gt;0,N.D.,SUM(AW185:AW186)))</f>
        <v/>
      </c>
      <c r="AX184" s="1009"/>
      <c r="AY184" s="1009"/>
      <c r="AZ184" s="171"/>
      <c r="BA184" s="1009" t="str">
        <f>IF(COUNTA(BA185:BA186)=0,"",IF(COUNTBLANK(BA185:BA186)&gt;0,N.D.,SUM(BA185:BA186)))</f>
        <v/>
      </c>
      <c r="BB184" s="1009"/>
      <c r="BC184" s="1009"/>
      <c r="DF184" s="124"/>
      <c r="DH184" s="57"/>
      <c r="DK184" s="1023" t="s">
        <v>498</v>
      </c>
      <c r="DL184" s="1023"/>
      <c r="DM184" s="1023"/>
      <c r="DO184" s="1023" t="s">
        <v>499</v>
      </c>
      <c r="DP184" s="1023"/>
      <c r="DQ184" s="1023"/>
      <c r="DS184" s="1023" t="s">
        <v>484</v>
      </c>
      <c r="DT184" s="1023"/>
      <c r="DU184" s="1023"/>
      <c r="DX184" s="1023" t="s">
        <v>498</v>
      </c>
      <c r="DY184" s="1023"/>
      <c r="DZ184" s="1023"/>
      <c r="EB184" s="1023" t="s">
        <v>499</v>
      </c>
      <c r="EC184" s="1023"/>
      <c r="ED184" s="1023"/>
      <c r="EF184" s="1023" t="s">
        <v>484</v>
      </c>
      <c r="EG184" s="1023"/>
      <c r="EH184" s="1023"/>
      <c r="EI184" s="27"/>
    </row>
    <row r="185" spans="6:154" ht="30" customHeight="1" x14ac:dyDescent="0.25">
      <c r="F185" s="124"/>
      <c r="I185" s="16" t="str">
        <f>puce1</f>
        <v>Ä</v>
      </c>
      <c r="J185" s="982" t="s">
        <v>472</v>
      </c>
      <c r="K185" s="982"/>
      <c r="L185" s="982"/>
      <c r="M185" s="982"/>
      <c r="N185" s="982"/>
      <c r="O185" s="982"/>
      <c r="P185" s="982"/>
      <c r="Q185" s="982"/>
      <c r="R185" s="982"/>
      <c r="S185" s="982"/>
      <c r="T185" s="1005" t="str">
        <f>IF(OR(gen_pop_RA="", gen_pop_MRC="",COUNTBLANK($Y$10:$Y$28)&gt;0),N.D.,DS$26)</f>
        <v>N.D.</v>
      </c>
      <c r="U185" s="1005"/>
      <c r="V185" s="1005"/>
      <c r="W185" s="128"/>
      <c r="X185" s="1005" t="str">
        <f>IF(OR(gen_pop_RA="", gen_pop_MRC="",COUNTBLANK($Y$10:$Y$28)&gt;0),N.D.,DT$26)</f>
        <v>N.D.</v>
      </c>
      <c r="Y185" s="1005"/>
      <c r="Z185" s="1005"/>
      <c r="AA185" s="128"/>
      <c r="AB185" s="1005" t="str">
        <f>IF(OR(gen_pop_RA="", gen_pop_MRC="",COUNTBLANK($Y$10:$Y$28)&gt;0),N.D.,DU$26)</f>
        <v>N.D.</v>
      </c>
      <c r="AC185" s="1005"/>
      <c r="AD185" s="1005"/>
      <c r="AH185" s="16" t="str">
        <f t="shared" si="24"/>
        <v>Ä</v>
      </c>
      <c r="AI185" s="982" t="str">
        <f>J185</f>
        <v>Hébergement et services de restauration</v>
      </c>
      <c r="AJ185" s="982"/>
      <c r="AK185" s="982"/>
      <c r="AL185" s="982"/>
      <c r="AM185" s="982"/>
      <c r="AN185" s="982"/>
      <c r="AO185" s="982"/>
      <c r="AP185" s="982"/>
      <c r="AQ185" s="982"/>
      <c r="AR185" s="982"/>
      <c r="AS185" s="1024"/>
      <c r="AT185" s="1024"/>
      <c r="AU185" s="1024"/>
      <c r="AV185" s="128"/>
      <c r="AW185" s="1024"/>
      <c r="AX185" s="1024"/>
      <c r="AY185" s="1024"/>
      <c r="AZ185" s="128"/>
      <c r="BA185" s="1024"/>
      <c r="BB185" s="1024"/>
      <c r="BC185" s="1024"/>
      <c r="DF185" s="124"/>
      <c r="DH185" s="1006" t="s">
        <v>276</v>
      </c>
      <c r="DI185" s="699"/>
      <c r="DJ185" s="699"/>
      <c r="DK185" s="1005" t="str">
        <f>IF(DK178=N.D.,N.D.,DK178*(1-$DI$168))</f>
        <v>N.D.</v>
      </c>
      <c r="DL185" s="1005"/>
      <c r="DM185" s="1005"/>
      <c r="DN185" s="128"/>
      <c r="DO185" s="1005" t="str">
        <f>IF(DO178=N.D.,N.D.,DO178*(1-$DI$168))</f>
        <v>N.D.</v>
      </c>
      <c r="DP185" s="1005"/>
      <c r="DQ185" s="1005"/>
      <c r="DR185" s="92"/>
      <c r="DS185" s="1005" t="str">
        <f>IF(DS178=N.D.,N.D.,DS178*(1-$DI$168))</f>
        <v>N.D.</v>
      </c>
      <c r="DT185" s="1005"/>
      <c r="DU185" s="1005"/>
      <c r="DV185" s="92"/>
      <c r="DW185" s="92"/>
      <c r="DX185" s="1005" t="str">
        <f>DX178</f>
        <v>N.D.</v>
      </c>
      <c r="DY185" s="1005"/>
      <c r="DZ185" s="1005"/>
      <c r="EA185" s="92"/>
      <c r="EB185" s="1005" t="str">
        <f>EB178</f>
        <v>N.D.</v>
      </c>
      <c r="EC185" s="1005"/>
      <c r="ED185" s="1005"/>
      <c r="EE185" s="92"/>
      <c r="EF185" s="1005" t="str">
        <f>EF178</f>
        <v>N.D.</v>
      </c>
      <c r="EG185" s="1005"/>
      <c r="EH185" s="1005"/>
      <c r="EI185" s="27"/>
    </row>
    <row r="186" spans="6:154" ht="15" customHeight="1" thickBot="1" x14ac:dyDescent="0.3">
      <c r="F186" s="124"/>
      <c r="I186" s="16" t="str">
        <f>puce1</f>
        <v>Ä</v>
      </c>
      <c r="J186" s="982" t="s">
        <v>473</v>
      </c>
      <c r="K186" s="982"/>
      <c r="L186" s="982"/>
      <c r="M186" s="982"/>
      <c r="N186" s="982"/>
      <c r="O186" s="982"/>
      <c r="P186" s="982"/>
      <c r="Q186" s="982"/>
      <c r="R186" s="982"/>
      <c r="S186" s="982"/>
      <c r="T186" s="1005" t="str">
        <f>IF(OR(gen_pop_RA="", gen_pop_MRC="",COUNTBLANK($Y$10:$Y$28)&gt;0),N.D.,DS$18)</f>
        <v>N.D.</v>
      </c>
      <c r="U186" s="1005"/>
      <c r="V186" s="1005"/>
      <c r="W186" s="128"/>
      <c r="X186" s="1005" t="str">
        <f>IF(OR(gen_pop_RA="", gen_pop_MRC="",COUNTBLANK($Y$10:$Y$28)&gt;0),N.D.,DT$18)</f>
        <v>N.D.</v>
      </c>
      <c r="Y186" s="1005"/>
      <c r="Z186" s="1005"/>
      <c r="AA186" s="128"/>
      <c r="AB186" s="1005" t="str">
        <f>IF(OR(gen_pop_RA="", gen_pop_MRC="",COUNTBLANK($Y$10:$Y$28)&gt;0),N.D.,DU$18)</f>
        <v>N.D.</v>
      </c>
      <c r="AC186" s="1005"/>
      <c r="AD186" s="1005"/>
      <c r="AH186" s="16" t="str">
        <f t="shared" si="24"/>
        <v>Ä</v>
      </c>
      <c r="AI186" s="982" t="str">
        <f>J186</f>
        <v>Commerce de gros et de détail</v>
      </c>
      <c r="AJ186" s="982"/>
      <c r="AK186" s="982"/>
      <c r="AL186" s="982"/>
      <c r="AM186" s="982"/>
      <c r="AN186" s="982"/>
      <c r="AO186" s="982"/>
      <c r="AP186" s="982"/>
      <c r="AQ186" s="982"/>
      <c r="AR186" s="982"/>
      <c r="AS186" s="1024"/>
      <c r="AT186" s="1024"/>
      <c r="AU186" s="1024"/>
      <c r="AV186" s="128"/>
      <c r="AW186" s="1024"/>
      <c r="AX186" s="1024"/>
      <c r="AY186" s="1024"/>
      <c r="AZ186" s="128"/>
      <c r="BA186" s="1024"/>
      <c r="BB186" s="1024"/>
      <c r="BC186" s="1024"/>
      <c r="DF186" s="124"/>
      <c r="DH186" s="58"/>
      <c r="DI186" s="34"/>
      <c r="DJ186" s="34"/>
      <c r="DK186" s="139"/>
      <c r="DL186" s="139"/>
      <c r="DM186" s="139"/>
      <c r="DN186" s="139"/>
      <c r="DO186" s="139"/>
      <c r="DP186" s="139"/>
      <c r="DQ186" s="139"/>
      <c r="DR186" s="140"/>
      <c r="DS186" s="140"/>
      <c r="DT186" s="140"/>
      <c r="DU186" s="140"/>
      <c r="DV186" s="141"/>
      <c r="DW186" s="141"/>
      <c r="DX186" s="141"/>
      <c r="DY186" s="34"/>
      <c r="DZ186" s="34"/>
      <c r="EA186" s="34"/>
      <c r="EB186" s="34"/>
      <c r="EC186" s="34"/>
      <c r="ED186" s="34"/>
      <c r="EE186" s="34"/>
      <c r="EF186" s="34"/>
      <c r="EG186" s="34"/>
      <c r="EH186" s="34"/>
      <c r="EI186" s="35"/>
      <c r="EJ186" s="34"/>
      <c r="EK186" s="34"/>
      <c r="EL186" s="34"/>
      <c r="EM186" s="34"/>
      <c r="EN186" s="34"/>
      <c r="EO186" s="34"/>
      <c r="EP186" s="34"/>
      <c r="EQ186" s="35"/>
    </row>
    <row r="187" spans="6:154" ht="15" customHeight="1" x14ac:dyDescent="0.25">
      <c r="F187" s="124"/>
      <c r="I187" s="701" t="s">
        <v>400</v>
      </c>
      <c r="J187" s="701"/>
      <c r="K187" s="701"/>
      <c r="L187" s="701"/>
      <c r="M187" s="701"/>
      <c r="N187" s="701"/>
      <c r="O187" s="701"/>
      <c r="P187" s="701"/>
      <c r="Q187" s="701"/>
      <c r="R187" s="701"/>
      <c r="S187" s="701"/>
      <c r="T187" s="1009" t="str">
        <f>IF(COUNTIF(T188:T190,N.D.)&gt;0,N.D.,SUM(T188:T190))</f>
        <v>N.D.</v>
      </c>
      <c r="U187" s="1009"/>
      <c r="V187" s="1009"/>
      <c r="W187" s="171"/>
      <c r="X187" s="1009" t="str">
        <f>IF(COUNTIF(X188:X190,N.D.)&gt;0,N.D.,SUM(X188:X190))</f>
        <v>N.D.</v>
      </c>
      <c r="Y187" s="1009"/>
      <c r="Z187" s="1009"/>
      <c r="AA187" s="171"/>
      <c r="AB187" s="1009" t="str">
        <f>IF(COUNTIF(AB188:AB190,N.D.)&gt;0,N.D.,SUM(AB188:AB190))</f>
        <v>N.D.</v>
      </c>
      <c r="AC187" s="1009"/>
      <c r="AD187" s="1009"/>
      <c r="AH187" s="701" t="str">
        <f t="shared" si="24"/>
        <v>Institutionnel</v>
      </c>
      <c r="AI187" s="701"/>
      <c r="AJ187" s="701"/>
      <c r="AK187" s="701"/>
      <c r="AL187" s="701"/>
      <c r="AM187" s="701"/>
      <c r="AN187" s="701"/>
      <c r="AO187" s="701"/>
      <c r="AP187" s="701"/>
      <c r="AQ187" s="701"/>
      <c r="AR187" s="701"/>
      <c r="AS187" s="1009" t="str">
        <f>IF(COUNTA(AS188:AS190)=0,"",IF(COUNTBLANK(AS188:AS190)&gt;0,N.D.,SUM(AS188:AS190)))</f>
        <v/>
      </c>
      <c r="AT187" s="1009"/>
      <c r="AU187" s="1009"/>
      <c r="AV187" s="171"/>
      <c r="AW187" s="1009" t="str">
        <f>IF(COUNTA(AW188:AW190)=0,"",IF(COUNTBLANK(AW188:AW190)&gt;0,N.D.,SUM(AW188:AW190)))</f>
        <v/>
      </c>
      <c r="AX187" s="1009"/>
      <c r="AY187" s="1009"/>
      <c r="AZ187" s="171"/>
      <c r="BA187" s="1009" t="str">
        <f>IF(COUNTA(BA188:BA190)=0,"",IF(COUNTBLANK(BA188:BA190)&gt;0,N.D.,SUM(BA188:BA190)))</f>
        <v/>
      </c>
      <c r="BB187" s="1009"/>
      <c r="BC187" s="1009"/>
      <c r="DF187" s="124"/>
    </row>
    <row r="188" spans="6:154" ht="15" customHeight="1" x14ac:dyDescent="0.25">
      <c r="F188" s="124"/>
      <c r="I188" s="16" t="str">
        <f>puce1</f>
        <v>Ä</v>
      </c>
      <c r="J188" s="982" t="s">
        <v>474</v>
      </c>
      <c r="K188" s="982"/>
      <c r="L188" s="982"/>
      <c r="M188" s="982"/>
      <c r="N188" s="982"/>
      <c r="O188" s="982"/>
      <c r="P188" s="982"/>
      <c r="Q188" s="982"/>
      <c r="R188" s="982"/>
      <c r="S188" s="982"/>
      <c r="T188" s="1005" t="str">
        <f>IF(OR(gen_pop_RA="", gen_pop_MRC="",COUNTBLANK($Y$10:$Y$28)&gt;0),N.D.,SUM(DS$20,DS$21,DS$22,DS$25,DS$27,DS$28))</f>
        <v>N.D.</v>
      </c>
      <c r="U188" s="1005"/>
      <c r="V188" s="1005"/>
      <c r="W188" s="128"/>
      <c r="X188" s="1005" t="str">
        <f>IF(OR(gen_pop_RA="", gen_pop_MRC="",COUNTBLANK($Y$10:$Y$28)&gt;0),N.D.,SUM(DT$20,DT$21,DT$22,DT$25,DT$27,DT$28))</f>
        <v>N.D.</v>
      </c>
      <c r="Y188" s="1005"/>
      <c r="Z188" s="1005"/>
      <c r="AA188" s="128"/>
      <c r="AB188" s="1005" t="str">
        <f>IF(OR(gen_pop_RA="", gen_pop_MRC="",COUNTBLANK($Y$10:$Y$28)&gt;0),N.D.,SUM(DU$20,DU$21,DU$22,DU$25,DU$27,DU$28))</f>
        <v>N.D.</v>
      </c>
      <c r="AC188" s="1005"/>
      <c r="AD188" s="1005"/>
      <c r="AH188" s="16" t="str">
        <f t="shared" si="24"/>
        <v>Ä</v>
      </c>
      <c r="AI188" s="982" t="str">
        <f>J188</f>
        <v>Services et bureaux</v>
      </c>
      <c r="AJ188" s="982"/>
      <c r="AK188" s="982"/>
      <c r="AL188" s="982"/>
      <c r="AM188" s="982"/>
      <c r="AN188" s="982"/>
      <c r="AO188" s="982"/>
      <c r="AP188" s="982"/>
      <c r="AQ188" s="982"/>
      <c r="AR188" s="982"/>
      <c r="AS188" s="1024"/>
      <c r="AT188" s="1024"/>
      <c r="AU188" s="1024"/>
      <c r="AV188" s="128"/>
      <c r="AW188" s="1024"/>
      <c r="AX188" s="1024"/>
      <c r="AY188" s="1024"/>
      <c r="AZ188" s="128"/>
      <c r="BA188" s="1024"/>
      <c r="BB188" s="1024"/>
      <c r="BC188" s="1024"/>
      <c r="DF188" s="124"/>
    </row>
    <row r="189" spans="6:154" ht="15" customHeight="1" x14ac:dyDescent="0.25">
      <c r="F189" s="124"/>
      <c r="I189" s="16" t="str">
        <f>puce1</f>
        <v>Ä</v>
      </c>
      <c r="J189" s="982" t="s">
        <v>475</v>
      </c>
      <c r="K189" s="982"/>
      <c r="L189" s="982"/>
      <c r="M189" s="982"/>
      <c r="N189" s="982"/>
      <c r="O189" s="982"/>
      <c r="P189" s="982"/>
      <c r="Q189" s="982"/>
      <c r="R189" s="982"/>
      <c r="S189" s="982"/>
      <c r="T189" s="1005" t="str">
        <f>IF(OR(gen_pop_RA="", gen_pop_MRC="",COUNTBLANK($Y$10:$Y$28)&gt;0),N.D.,DS$23)</f>
        <v>N.D.</v>
      </c>
      <c r="U189" s="1005"/>
      <c r="V189" s="1005"/>
      <c r="W189" s="128"/>
      <c r="X189" s="1005" t="str">
        <f>IF(OR(gen_pop_RA="", gen_pop_MRC="",COUNTBLANK($Y$10:$Y$28)&gt;0),N.D.,DT$23)</f>
        <v>N.D.</v>
      </c>
      <c r="Y189" s="1005"/>
      <c r="Z189" s="1005"/>
      <c r="AA189" s="128"/>
      <c r="AB189" s="1005" t="str">
        <f>IF(OR(gen_pop_RA="", gen_pop_MRC="",COUNTBLANK($Y$10:$Y$28)&gt;0),N.D.,DU$23)</f>
        <v>N.D.</v>
      </c>
      <c r="AC189" s="1005"/>
      <c r="AD189" s="1005"/>
      <c r="AH189" s="16" t="str">
        <f t="shared" si="24"/>
        <v>Ä</v>
      </c>
      <c r="AI189" s="982" t="str">
        <f>J189</f>
        <v>Services d'enseignement</v>
      </c>
      <c r="AJ189" s="982"/>
      <c r="AK189" s="982"/>
      <c r="AL189" s="982"/>
      <c r="AM189" s="982"/>
      <c r="AN189" s="982"/>
      <c r="AO189" s="982"/>
      <c r="AP189" s="982"/>
      <c r="AQ189" s="982"/>
      <c r="AR189" s="982"/>
      <c r="AS189" s="1024"/>
      <c r="AT189" s="1024"/>
      <c r="AU189" s="1024"/>
      <c r="AV189" s="128"/>
      <c r="AW189" s="1024"/>
      <c r="AX189" s="1024"/>
      <c r="AY189" s="1024"/>
      <c r="AZ189" s="128"/>
      <c r="BA189" s="1024"/>
      <c r="BB189" s="1024"/>
      <c r="BC189" s="1024"/>
      <c r="DF189" s="124"/>
      <c r="DK189" s="125"/>
      <c r="DL189" s="125"/>
      <c r="DM189" s="125"/>
      <c r="DN189" s="125"/>
      <c r="DO189" s="125"/>
      <c r="DP189" s="125"/>
      <c r="DQ189" s="125"/>
      <c r="DR189" s="135"/>
      <c r="DS189" s="135"/>
      <c r="DT189" s="135"/>
      <c r="DU189" s="135"/>
      <c r="DV189" s="19"/>
      <c r="DW189" s="19"/>
      <c r="DX189" s="19"/>
    </row>
    <row r="190" spans="6:154" ht="15" customHeight="1" x14ac:dyDescent="0.25">
      <c r="F190" s="124"/>
      <c r="I190" s="16" t="str">
        <f>puce1</f>
        <v>Ä</v>
      </c>
      <c r="J190" s="982" t="s">
        <v>476</v>
      </c>
      <c r="K190" s="982"/>
      <c r="L190" s="982"/>
      <c r="M190" s="982"/>
      <c r="N190" s="982"/>
      <c r="O190" s="982"/>
      <c r="P190" s="982"/>
      <c r="Q190" s="982"/>
      <c r="R190" s="982"/>
      <c r="S190" s="982"/>
      <c r="T190" s="1005" t="str">
        <f>IF(OR(gen_pop_RA="", gen_pop_MRC="",COUNTBLANK($Y$10:$Y$28)&gt;0),N.D.,DS$24)</f>
        <v>N.D.</v>
      </c>
      <c r="U190" s="1005"/>
      <c r="V190" s="1005"/>
      <c r="W190" s="128"/>
      <c r="X190" s="1005" t="str">
        <f>IF(OR(gen_pop_RA="", gen_pop_MRC="",COUNTBLANK($Y$10:$Y$28)&gt;0),N.D.,DT$24)</f>
        <v>N.D.</v>
      </c>
      <c r="Y190" s="1005"/>
      <c r="Z190" s="1005"/>
      <c r="AA190" s="128"/>
      <c r="AB190" s="1005" t="str">
        <f>IF(OR(gen_pop_RA="", gen_pop_MRC="",COUNTBLANK($Y$10:$Y$28)&gt;0),N.D.,DU$24)</f>
        <v>N.D.</v>
      </c>
      <c r="AC190" s="1005"/>
      <c r="AD190" s="1005"/>
      <c r="AH190" s="16" t="str">
        <f t="shared" si="24"/>
        <v>Ä</v>
      </c>
      <c r="AI190" s="982" t="str">
        <f>J190</f>
        <v>Soins de santé</v>
      </c>
      <c r="AJ190" s="982"/>
      <c r="AK190" s="982"/>
      <c r="AL190" s="982"/>
      <c r="AM190" s="982"/>
      <c r="AN190" s="982"/>
      <c r="AO190" s="982"/>
      <c r="AP190" s="982"/>
      <c r="AQ190" s="982"/>
      <c r="AR190" s="982"/>
      <c r="AS190" s="1024"/>
      <c r="AT190" s="1024"/>
      <c r="AU190" s="1024"/>
      <c r="AV190" s="128"/>
      <c r="AW190" s="1024"/>
      <c r="AX190" s="1024"/>
      <c r="AY190" s="1024"/>
      <c r="AZ190" s="128"/>
      <c r="BA190" s="1024"/>
      <c r="BB190" s="1024"/>
      <c r="BC190" s="1024"/>
      <c r="DF190" s="124"/>
      <c r="DK190" s="125"/>
      <c r="DL190" s="125"/>
      <c r="DM190" s="125"/>
      <c r="DN190" s="125"/>
      <c r="DO190" s="125"/>
      <c r="DP190" s="125"/>
      <c r="DQ190" s="125"/>
      <c r="DR190" s="135"/>
      <c r="DS190" s="135"/>
      <c r="DT190" s="135"/>
      <c r="DU190" s="135"/>
      <c r="DV190" s="19"/>
      <c r="DW190" s="19"/>
      <c r="DX190" s="19"/>
    </row>
    <row r="191" spans="6:154" ht="11.25" customHeight="1" thickBot="1" x14ac:dyDescent="0.3">
      <c r="F191" s="124"/>
      <c r="DF191" s="124"/>
      <c r="DK191" s="125"/>
      <c r="DL191" s="125"/>
      <c r="DM191" s="125"/>
      <c r="DN191" s="125"/>
      <c r="DO191" s="125"/>
      <c r="DP191" s="125"/>
      <c r="DQ191" s="125"/>
      <c r="DR191" s="135"/>
      <c r="DS191" s="135"/>
      <c r="DT191" s="135"/>
      <c r="DU191" s="135"/>
      <c r="DV191" s="19"/>
      <c r="DW191" s="19"/>
      <c r="DX191" s="19"/>
    </row>
    <row r="192" spans="6:154" ht="15" customHeight="1" x14ac:dyDescent="0.25">
      <c r="F192" s="124"/>
      <c r="I192" s="102"/>
      <c r="J192" s="102"/>
      <c r="K192" s="19"/>
      <c r="L192" s="19"/>
      <c r="M192" s="19"/>
      <c r="N192" s="19"/>
      <c r="O192" s="19"/>
      <c r="P192" s="19"/>
      <c r="Q192" s="19"/>
      <c r="R192" s="19"/>
      <c r="S192" s="19"/>
      <c r="T192" s="19"/>
      <c r="U192" s="19"/>
      <c r="V192" s="19"/>
      <c r="W192" s="19"/>
      <c r="X192" s="19"/>
      <c r="Y192" s="19"/>
      <c r="Z192" s="19"/>
      <c r="AA192" s="19"/>
      <c r="AB192" s="19"/>
      <c r="AC192" s="19"/>
      <c r="AD192" s="19"/>
      <c r="AH192" s="691" t="str">
        <f>$AG$51</f>
        <v>Secteur non connu</v>
      </c>
      <c r="AI192" s="691"/>
      <c r="AJ192" s="691"/>
      <c r="AK192" s="691"/>
      <c r="AL192" s="691"/>
      <c r="AM192" s="691"/>
      <c r="AN192" s="691"/>
      <c r="AO192" s="691"/>
      <c r="AP192" s="691"/>
      <c r="AQ192" s="691"/>
      <c r="AR192" s="691"/>
      <c r="AS192" s="1037"/>
      <c r="AT192" s="1037"/>
      <c r="AU192" s="1037"/>
      <c r="AV192" s="128"/>
      <c r="AW192" s="1037"/>
      <c r="AX192" s="1037"/>
      <c r="AY192" s="1037"/>
      <c r="AZ192" s="128"/>
      <c r="BA192" s="1037"/>
      <c r="BB192" s="1037"/>
      <c r="BC192" s="1037"/>
      <c r="DF192" s="124"/>
      <c r="DH192" s="106"/>
      <c r="DI192" s="107"/>
      <c r="DJ192" s="107"/>
      <c r="DK192" s="107"/>
      <c r="DL192" s="107"/>
      <c r="DM192" s="107"/>
      <c r="DN192" s="107"/>
      <c r="DO192" s="107"/>
      <c r="DP192" s="107"/>
      <c r="DQ192" s="107"/>
      <c r="DR192" s="107"/>
      <c r="DS192" s="107"/>
      <c r="DT192" s="107"/>
      <c r="DU192" s="107"/>
      <c r="DV192" s="107"/>
      <c r="DW192" s="107"/>
      <c r="DX192" s="107"/>
      <c r="DY192" s="107"/>
      <c r="DZ192" s="107"/>
      <c r="EA192" s="107"/>
      <c r="EB192" s="107"/>
      <c r="EC192" s="107"/>
      <c r="ED192" s="107"/>
      <c r="EE192" s="107"/>
      <c r="EF192" s="107"/>
      <c r="EG192" s="107"/>
      <c r="EH192" s="107"/>
      <c r="EI192" s="108"/>
      <c r="EJ192" s="107"/>
      <c r="EK192" s="107"/>
      <c r="EL192" s="107"/>
      <c r="EM192" s="107"/>
      <c r="EN192" s="107"/>
      <c r="EO192" s="107"/>
      <c r="EP192" s="107"/>
      <c r="EQ192" s="320"/>
      <c r="ES192" s="1135" t="s">
        <v>659</v>
      </c>
      <c r="ET192" s="1136"/>
      <c r="EU192" s="1136"/>
      <c r="EV192" s="1136"/>
      <c r="EW192" s="1137"/>
    </row>
    <row r="193" spans="6:153" ht="7.5" customHeight="1" x14ac:dyDescent="0.25">
      <c r="F193" s="124"/>
      <c r="I193" s="189"/>
      <c r="J193" s="189"/>
      <c r="K193" s="189"/>
      <c r="L193" s="189"/>
      <c r="M193" s="189"/>
      <c r="N193" s="189"/>
      <c r="O193" s="189"/>
      <c r="P193" s="189"/>
      <c r="Q193" s="63"/>
      <c r="R193" s="63"/>
      <c r="S193" s="63"/>
      <c r="T193" s="63"/>
      <c r="U193" s="63"/>
      <c r="V193" s="63"/>
      <c r="W193" s="63"/>
      <c r="X193" s="63"/>
      <c r="Y193" s="63"/>
      <c r="Z193" s="63"/>
      <c r="AA193" s="63"/>
      <c r="AB193" s="63"/>
      <c r="AC193" s="63"/>
      <c r="AD193" s="63"/>
      <c r="AH193" s="129"/>
      <c r="AI193" s="129"/>
      <c r="AJ193" s="129"/>
      <c r="AK193" s="129"/>
      <c r="AL193" s="129"/>
      <c r="AM193" s="129"/>
      <c r="AN193" s="129"/>
      <c r="AO193" s="129"/>
      <c r="AP193" s="63"/>
      <c r="AQ193" s="63"/>
      <c r="AR193" s="63"/>
      <c r="AS193" s="63"/>
      <c r="AT193" s="63"/>
      <c r="AU193" s="63"/>
      <c r="AV193" s="63"/>
      <c r="AW193" s="63"/>
      <c r="AX193" s="63"/>
      <c r="AY193" s="63"/>
      <c r="AZ193" s="63"/>
      <c r="BA193" s="63"/>
      <c r="BB193" s="63"/>
      <c r="BC193" s="63"/>
      <c r="DF193" s="124"/>
      <c r="DH193" s="57"/>
      <c r="DK193" s="1110" t="s">
        <v>495</v>
      </c>
      <c r="DL193" s="1110"/>
      <c r="DM193" s="1110"/>
      <c r="DN193" s="1110"/>
      <c r="DO193" s="1110"/>
      <c r="DP193" s="1110"/>
      <c r="DQ193" s="1110"/>
      <c r="DR193" s="1110"/>
      <c r="DS193" s="1110"/>
      <c r="DT193" s="1110"/>
      <c r="DU193" s="1110"/>
      <c r="DV193" s="1110"/>
      <c r="DW193" s="1110"/>
      <c r="DX193" s="1110"/>
      <c r="DY193" s="1110"/>
      <c r="DZ193" s="1110"/>
      <c r="EA193" s="1110"/>
      <c r="EB193" s="1110"/>
      <c r="EC193" s="1110"/>
      <c r="ED193" s="1110"/>
      <c r="EE193" s="1110"/>
      <c r="EF193" s="1110"/>
      <c r="EG193" s="1110"/>
      <c r="EH193" s="1110"/>
      <c r="EI193" s="27"/>
      <c r="EM193" s="1133" t="s">
        <v>659</v>
      </c>
      <c r="EN193" s="1133"/>
      <c r="EO193" s="1133"/>
      <c r="EP193" s="1133"/>
      <c r="EQ193" s="1134"/>
      <c r="ES193" s="328"/>
      <c r="EW193" s="329"/>
    </row>
    <row r="194" spans="6:153" ht="15" customHeight="1" x14ac:dyDescent="0.25">
      <c r="F194" s="124"/>
      <c r="I194" s="1026" t="s">
        <v>276</v>
      </c>
      <c r="J194" s="1026"/>
      <c r="K194" s="1026"/>
      <c r="L194" s="1026"/>
      <c r="M194" s="1026"/>
      <c r="N194" s="1026"/>
      <c r="O194" s="1026"/>
      <c r="P194" s="1026"/>
      <c r="Q194" s="1026"/>
      <c r="R194" s="1026"/>
      <c r="S194" s="1026"/>
      <c r="T194" s="765" t="str">
        <f>IF(COUNTIF(T178:T190,N.D.)&gt;0,N.D.,SUM(T178,T184,T187))</f>
        <v>N.D.</v>
      </c>
      <c r="U194" s="765"/>
      <c r="V194" s="765"/>
      <c r="W194" s="171"/>
      <c r="X194" s="765" t="str">
        <f>IF(COUNTIF(X178:X190,N.D.)&gt;0,N.D.,SUM(X178,X184,X187))</f>
        <v>N.D.</v>
      </c>
      <c r="Y194" s="765"/>
      <c r="Z194" s="765"/>
      <c r="AA194" s="172"/>
      <c r="AB194" s="765" t="str">
        <f>IF(COUNTIF(AB178:AB190,N.D.)&gt;0,N.D.,SUM(AB178,AB184,AB187))</f>
        <v>N.D.</v>
      </c>
      <c r="AC194" s="765"/>
      <c r="AD194" s="765"/>
      <c r="AH194" s="1026" t="str">
        <f t="shared" si="24"/>
        <v>Total</v>
      </c>
      <c r="AI194" s="1026"/>
      <c r="AJ194" s="1026"/>
      <c r="AK194" s="1026"/>
      <c r="AL194" s="1026"/>
      <c r="AM194" s="1026"/>
      <c r="AN194" s="1026"/>
      <c r="AO194" s="1026"/>
      <c r="AP194" s="1026"/>
      <c r="AQ194" s="1026"/>
      <c r="AR194" s="1026"/>
      <c r="AS194" s="765" t="str">
        <f>IF(OR(COUNTBLANK(AS178:AS190)&gt;0,AS192=""),N.D.,IF(AND(AS178="",AS184="",AS187=""),"",SUM(AS178,AS184,AS187,AS192)))</f>
        <v>N.D.</v>
      </c>
      <c r="AT194" s="765"/>
      <c r="AU194" s="765"/>
      <c r="AV194" s="171"/>
      <c r="AW194" s="765" t="str">
        <f>IF(OR(COUNTBLANK(AW178:AW190)&gt;0,AW192=""),N.D.,IF(AND(AW178="",AW184="",AW187=""),"",SUM(AW178,AW184,AW187,AW192)))</f>
        <v>N.D.</v>
      </c>
      <c r="AX194" s="765"/>
      <c r="AY194" s="765"/>
      <c r="AZ194" s="172"/>
      <c r="BA194" s="765" t="str">
        <f>IF(OR(COUNTBLANK(BA178:BA190)&gt;0,BA192=""),N.D.,IF(AND(BA178="",BA184="",BA187=""),"",SUM(BA178,BA184,BA187,BA192)))</f>
        <v>N.D.</v>
      </c>
      <c r="BB194" s="765"/>
      <c r="BC194" s="765"/>
      <c r="DF194" s="124"/>
      <c r="DH194" s="57"/>
      <c r="DK194" s="125"/>
      <c r="DL194" s="125"/>
      <c r="DM194" s="125"/>
      <c r="DN194" s="125"/>
      <c r="DO194" s="125"/>
      <c r="DP194" s="125"/>
      <c r="DQ194" s="125"/>
      <c r="DR194" s="135"/>
      <c r="DS194" s="135"/>
      <c r="DT194" s="135"/>
      <c r="DU194" s="135"/>
      <c r="DV194" s="19"/>
      <c r="DW194" s="19"/>
      <c r="DX194" s="19"/>
      <c r="EI194" s="27"/>
      <c r="EQ194" s="329"/>
      <c r="ES194" s="328"/>
      <c r="ET194" s="192" t="s">
        <v>586</v>
      </c>
      <c r="EU194" s="192"/>
      <c r="EV194" s="192"/>
      <c r="EW194" s="329"/>
    </row>
    <row r="195" spans="6:153" ht="15" customHeight="1" x14ac:dyDescent="0.25">
      <c r="F195" s="124"/>
      <c r="I195" s="768" t="str">
        <f>IF((COUNTIF(T194,N.D.)+(COUNTIF(X194,N.D.)))=0,"",N.D.)</f>
        <v>N.D.</v>
      </c>
      <c r="J195" s="768"/>
      <c r="K195" s="758" t="str">
        <f>IF(I195=N.D.,txt_N.D.&amp;'Données générales'!J8&amp;", "&amp;'Données générales'!AH8&amp;" ou "&amp;I5,"")</f>
        <v>Non disponible : vérifiez les données à la question 1.3, 1.5 ou 3.1.</v>
      </c>
      <c r="L195" s="758"/>
      <c r="M195" s="758"/>
      <c r="N195" s="758"/>
      <c r="O195" s="758"/>
      <c r="P195" s="758"/>
      <c r="Q195" s="758"/>
      <c r="R195" s="758"/>
      <c r="S195" s="758"/>
      <c r="T195" s="758"/>
      <c r="U195" s="758"/>
      <c r="V195" s="758"/>
      <c r="W195" s="758"/>
      <c r="X195" s="758"/>
      <c r="Y195" s="758"/>
      <c r="Z195" s="758"/>
      <c r="AA195" s="758"/>
      <c r="AB195" s="758"/>
      <c r="AC195" s="758"/>
      <c r="AD195" s="758"/>
      <c r="DF195" s="124"/>
      <c r="DH195" s="57"/>
      <c r="DK195" s="1077" t="s">
        <v>478</v>
      </c>
      <c r="DL195" s="1077"/>
      <c r="DM195" s="1077"/>
      <c r="DN195" s="1077"/>
      <c r="DO195" s="1077"/>
      <c r="DP195" s="1077"/>
      <c r="DQ195" s="1077"/>
      <c r="DR195" s="1077"/>
      <c r="DS195" s="1077"/>
      <c r="DT195" s="1077"/>
      <c r="DU195" s="1077"/>
      <c r="DV195" s="138"/>
      <c r="DW195" s="138"/>
      <c r="DX195" s="1077" t="s">
        <v>479</v>
      </c>
      <c r="DY195" s="1077"/>
      <c r="DZ195" s="1077"/>
      <c r="EA195" s="1077"/>
      <c r="EB195" s="1077"/>
      <c r="EC195" s="1077"/>
      <c r="ED195" s="1077"/>
      <c r="EE195" s="1077"/>
      <c r="EF195" s="1077"/>
      <c r="EG195" s="1077"/>
      <c r="EH195" s="1077"/>
      <c r="EI195" s="27"/>
      <c r="EM195" s="699" t="s">
        <v>480</v>
      </c>
      <c r="EN195" s="699"/>
      <c r="EO195" s="699"/>
      <c r="EP195" s="699"/>
      <c r="EQ195" s="700"/>
      <c r="ES195" s="328"/>
      <c r="EW195" s="329"/>
    </row>
    <row r="196" spans="6:153" ht="15" customHeight="1" x14ac:dyDescent="0.25">
      <c r="F196" s="124"/>
      <c r="I196" s="102"/>
      <c r="J196" s="102"/>
      <c r="K196" s="19"/>
      <c r="L196" s="19"/>
      <c r="M196" s="19"/>
      <c r="N196" s="19"/>
      <c r="O196" s="19"/>
      <c r="P196" s="19"/>
      <c r="Q196" s="19"/>
      <c r="R196" s="19"/>
      <c r="S196" s="19"/>
      <c r="T196" s="19"/>
      <c r="U196" s="19"/>
      <c r="V196" s="19"/>
      <c r="W196" s="19"/>
      <c r="X196" s="19"/>
      <c r="Y196" s="19"/>
      <c r="Z196" s="19"/>
      <c r="AA196" s="19"/>
      <c r="AB196" s="19"/>
      <c r="AC196" s="19"/>
      <c r="AD196" s="19"/>
      <c r="DF196" s="124"/>
      <c r="DH196" s="57"/>
      <c r="DK196" s="1023" t="s">
        <v>498</v>
      </c>
      <c r="DL196" s="1023"/>
      <c r="DM196" s="1023"/>
      <c r="DO196" s="1023" t="s">
        <v>499</v>
      </c>
      <c r="DP196" s="1023"/>
      <c r="DQ196" s="1023"/>
      <c r="DS196" s="1023" t="s">
        <v>484</v>
      </c>
      <c r="DT196" s="1023"/>
      <c r="DU196" s="1023"/>
      <c r="DX196" s="1023" t="str">
        <f>DK196</f>
        <v>R. verts</v>
      </c>
      <c r="DY196" s="1023"/>
      <c r="DZ196" s="1023"/>
      <c r="EB196" s="1023" t="str">
        <f>DO196</f>
        <v>R. alim.</v>
      </c>
      <c r="EC196" s="1023"/>
      <c r="ED196" s="1023"/>
      <c r="EF196" s="1023" t="s">
        <v>484</v>
      </c>
      <c r="EG196" s="1023"/>
      <c r="EH196" s="1023"/>
      <c r="EI196" s="27"/>
      <c r="EM196" s="121" t="str">
        <f>DK196</f>
        <v>R. verts</v>
      </c>
      <c r="EN196" s="26"/>
      <c r="EO196" s="121" t="str">
        <f>DO196</f>
        <v>R. alim.</v>
      </c>
      <c r="EP196" s="26"/>
      <c r="EQ196" s="330" t="str">
        <f>DS196</f>
        <v>Autres R.O.</v>
      </c>
      <c r="ES196" s="328"/>
      <c r="ET196" s="26" t="s">
        <v>587</v>
      </c>
      <c r="EU196" s="26" t="s">
        <v>588</v>
      </c>
      <c r="EV196" s="26" t="s">
        <v>280</v>
      </c>
      <c r="EW196" s="329"/>
    </row>
    <row r="197" spans="6:153" ht="15" customHeight="1" x14ac:dyDescent="0.25">
      <c r="F197" s="124"/>
      <c r="I197" s="102"/>
      <c r="J197" s="102"/>
      <c r="K197" s="19"/>
      <c r="L197" s="19"/>
      <c r="M197" s="19"/>
      <c r="N197" s="19"/>
      <c r="O197" s="19"/>
      <c r="P197" s="19"/>
      <c r="Q197" s="19"/>
      <c r="R197" s="19"/>
      <c r="S197" s="19"/>
      <c r="T197" s="1077" t="s">
        <v>479</v>
      </c>
      <c r="U197" s="1077"/>
      <c r="V197" s="1077"/>
      <c r="W197" s="1077"/>
      <c r="X197" s="1077"/>
      <c r="Y197" s="1077"/>
      <c r="Z197" s="1077"/>
      <c r="AA197" s="1077"/>
      <c r="AB197" s="1077"/>
      <c r="AC197" s="1077"/>
      <c r="AD197" s="1077"/>
      <c r="AS197" s="1077" t="s">
        <v>479</v>
      </c>
      <c r="AT197" s="1077"/>
      <c r="AU197" s="1077"/>
      <c r="AV197" s="1077"/>
      <c r="AW197" s="1077"/>
      <c r="AX197" s="1077"/>
      <c r="AY197" s="1077"/>
      <c r="AZ197" s="1077"/>
      <c r="BA197" s="1077"/>
      <c r="BB197" s="1077"/>
      <c r="BC197" s="1077"/>
      <c r="DF197" s="124"/>
      <c r="DH197" s="1006" t="s">
        <v>276</v>
      </c>
      <c r="DI197" s="699"/>
      <c r="DJ197" s="699"/>
      <c r="DK197" s="1005" t="str">
        <f>AS194</f>
        <v>N.D.</v>
      </c>
      <c r="DL197" s="1005"/>
      <c r="DM197" s="1005"/>
      <c r="DN197" s="128"/>
      <c r="DO197" s="1005" t="str">
        <f>AW194</f>
        <v>N.D.</v>
      </c>
      <c r="DP197" s="1005"/>
      <c r="DQ197" s="1005"/>
      <c r="DR197" s="92"/>
      <c r="DS197" s="1005" t="str">
        <f>BA194</f>
        <v>N.D.</v>
      </c>
      <c r="DT197" s="1005"/>
      <c r="DU197" s="1005"/>
      <c r="DV197" s="92"/>
      <c r="DW197" s="92"/>
      <c r="DX197" s="1005" t="str">
        <f>AS215</f>
        <v>N.D.</v>
      </c>
      <c r="DY197" s="1005"/>
      <c r="DZ197" s="1005"/>
      <c r="EA197" s="92"/>
      <c r="EB197" s="1005" t="str">
        <f>AW215</f>
        <v>N.D.</v>
      </c>
      <c r="EC197" s="1005"/>
      <c r="ED197" s="1005"/>
      <c r="EE197" s="92"/>
      <c r="EF197" s="1005" t="str">
        <f>BA215</f>
        <v>N.D.</v>
      </c>
      <c r="EG197" s="1005"/>
      <c r="EH197" s="1005"/>
      <c r="EI197" s="27"/>
      <c r="EM197" s="91">
        <f>SUM(DK197,DX197)</f>
        <v>0</v>
      </c>
      <c r="EO197" s="91">
        <f>SUM(DO197,EB197)</f>
        <v>0</v>
      </c>
      <c r="EQ197" s="331">
        <f>SUM(DS197,EF197)</f>
        <v>0</v>
      </c>
      <c r="ES197" s="328"/>
      <c r="ET197" s="5" t="str">
        <f>IF(DK197=N.D.,N.D.,(DK197/(1-$DI$168)*($DI$168)))</f>
        <v>N.D.</v>
      </c>
      <c r="EU197" s="5" t="str">
        <f>IF(DO197=N.D.,N.D.,(DO197/(1-$DI$168)*($DI$168)))</f>
        <v>N.D.</v>
      </c>
      <c r="EV197" s="5" t="str">
        <f>IF(DS197=N.D.,N.D.,(DS197/(1-$DI$168)*($DI$168)))</f>
        <v>N.D.</v>
      </c>
      <c r="EW197" s="329"/>
    </row>
    <row r="198" spans="6:153" ht="30" customHeight="1" thickBot="1" x14ac:dyDescent="0.3">
      <c r="F198" s="124"/>
      <c r="I198" s="102"/>
      <c r="J198" s="102"/>
      <c r="K198" s="19"/>
      <c r="L198" s="19"/>
      <c r="M198" s="19"/>
      <c r="N198" s="19"/>
      <c r="O198" s="19"/>
      <c r="P198" s="19"/>
      <c r="Q198" s="19"/>
      <c r="R198" s="19"/>
      <c r="S198" s="19"/>
      <c r="T198" s="1023" t="str">
        <f>T177</f>
        <v>Résidus verts (t)</v>
      </c>
      <c r="U198" s="1023"/>
      <c r="V198" s="1023"/>
      <c r="X198" s="1023" t="str">
        <f>X177</f>
        <v>Résidus alim. (t)</v>
      </c>
      <c r="Y198" s="1023"/>
      <c r="Z198" s="1023"/>
      <c r="AB198" s="1023" t="str">
        <f>AB177</f>
        <v>Autres R.O. (t)</v>
      </c>
      <c r="AC198" s="1023"/>
      <c r="AD198" s="1023"/>
      <c r="AS198" s="1023" t="str">
        <f>AS177</f>
        <v>Résidus verts (t)</v>
      </c>
      <c r="AT198" s="1023"/>
      <c r="AU198" s="1023"/>
      <c r="AW198" s="1023" t="str">
        <f>AW177</f>
        <v>Résidus alim. (t)</v>
      </c>
      <c r="AX198" s="1023"/>
      <c r="AY198" s="1023"/>
      <c r="BA198" s="1023" t="str">
        <f>AB177</f>
        <v>Autres R.O. (t)</v>
      </c>
      <c r="BB198" s="1023"/>
      <c r="BC198" s="1023"/>
      <c r="DF198" s="124"/>
      <c r="DH198" s="58"/>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5"/>
      <c r="EJ198" s="322"/>
      <c r="EK198" s="322"/>
      <c r="EL198" s="322"/>
      <c r="EM198" s="322"/>
      <c r="EN198" s="322"/>
      <c r="EO198" s="322"/>
      <c r="EP198" s="322"/>
      <c r="EQ198" s="323"/>
      <c r="ES198" s="321"/>
      <c r="ET198" s="322"/>
      <c r="EU198" s="322"/>
      <c r="EV198" s="322"/>
      <c r="EW198" s="323"/>
    </row>
    <row r="199" spans="6:153" ht="15" customHeight="1" x14ac:dyDescent="0.25">
      <c r="F199" s="124"/>
      <c r="I199" s="701" t="str">
        <f t="shared" ref="I199:I211" si="25">I178</f>
        <v>Industriel</v>
      </c>
      <c r="J199" s="701"/>
      <c r="K199" s="701"/>
      <c r="L199" s="701"/>
      <c r="M199" s="701"/>
      <c r="N199" s="701"/>
      <c r="O199" s="701"/>
      <c r="P199" s="701"/>
      <c r="Q199" s="701"/>
      <c r="R199" s="701"/>
      <c r="S199" s="701"/>
      <c r="T199" s="1009" t="str">
        <f>IF(COUNTIF(T200:T204,N.D.)&gt;0,N.D.,SUM(T200:T204))</f>
        <v>N.D.</v>
      </c>
      <c r="U199" s="1009"/>
      <c r="V199" s="1009"/>
      <c r="W199" s="170"/>
      <c r="X199" s="1009" t="str">
        <f>IF(COUNTIF(X200:X204,N.D.)&gt;0,N.D.,SUM(X200:X204))</f>
        <v>N.D.</v>
      </c>
      <c r="Y199" s="1009"/>
      <c r="Z199" s="1009"/>
      <c r="AA199" s="170"/>
      <c r="AB199" s="1009" t="str">
        <f>IF(COUNTIF(AB200:AB204,N.D.)&gt;0,N.D.,SUM(AB200:AB204))</f>
        <v>N.D.</v>
      </c>
      <c r="AC199" s="1009"/>
      <c r="AD199" s="1009"/>
      <c r="AH199" s="701" t="str">
        <f t="shared" ref="AH199:AH211" si="26">I178</f>
        <v>Industriel</v>
      </c>
      <c r="AI199" s="701"/>
      <c r="AJ199" s="701"/>
      <c r="AK199" s="701"/>
      <c r="AL199" s="701"/>
      <c r="AM199" s="701"/>
      <c r="AN199" s="701"/>
      <c r="AO199" s="701"/>
      <c r="AP199" s="701"/>
      <c r="AQ199" s="701"/>
      <c r="AR199" s="701"/>
      <c r="AS199" s="1009" t="str">
        <f>IF(COUNTA(AS200:AS204)=0,"",IF(COUNTBLANK(AS200:AS204)&gt;0,N.D.,SUM(AS200:AS204)))</f>
        <v/>
      </c>
      <c r="AT199" s="1009"/>
      <c r="AU199" s="1009"/>
      <c r="AV199" s="170"/>
      <c r="AW199" s="1009" t="str">
        <f>IF(COUNTA(AW200:AW204)=0,"",IF(COUNTBLANK(AW200:AW204)&gt;0,N.D.,SUM(AW200:AW204)))</f>
        <v/>
      </c>
      <c r="AX199" s="1009"/>
      <c r="AY199" s="1009"/>
      <c r="AZ199" s="170"/>
      <c r="BA199" s="1009" t="str">
        <f>IF(COUNTA(BA200:BA204)=0,"",IF(COUNTBLANK(BA200:BA204)&gt;0,N.D.,SUM(BA200:BA204)))</f>
        <v/>
      </c>
      <c r="BB199" s="1009"/>
      <c r="BC199" s="1009"/>
      <c r="DF199" s="124"/>
    </row>
    <row r="200" spans="6:153" ht="15" customHeight="1" thickBot="1" x14ac:dyDescent="0.3">
      <c r="F200" s="124"/>
      <c r="I200" s="16" t="str">
        <f t="shared" si="25"/>
        <v>Ä</v>
      </c>
      <c r="J200" s="982" t="str">
        <f>J179</f>
        <v>Agriculture</v>
      </c>
      <c r="K200" s="982"/>
      <c r="L200" s="982"/>
      <c r="M200" s="982"/>
      <c r="N200" s="982"/>
      <c r="O200" s="982"/>
      <c r="P200" s="982"/>
      <c r="Q200" s="982"/>
      <c r="R200" s="982"/>
      <c r="S200" s="982"/>
      <c r="T200" s="1005" t="str">
        <f>IF(OR(gen_pop_RA="", gen_pop_MRC="",COUNTBLANK($Y$10:$Y$28)&gt;0),N.D.,EB$12)</f>
        <v>N.D.</v>
      </c>
      <c r="U200" s="1005"/>
      <c r="V200" s="1005"/>
      <c r="W200" s="128"/>
      <c r="X200" s="1005" t="str">
        <f>IF(OR(gen_pop_RA="", gen_pop_MRC="",COUNTBLANK($Y$10:$Y$28)&gt;0),N.D.,EC$12)</f>
        <v>N.D.</v>
      </c>
      <c r="Y200" s="1005"/>
      <c r="Z200" s="1005"/>
      <c r="AA200" s="127"/>
      <c r="AB200" s="1005" t="str">
        <f>IF(OR(gen_pop_RA="", gen_pop_MRC="",COUNTBLANK($Y$10:$Y$28)&gt;0),N.D.,ED$12)</f>
        <v>N.D.</v>
      </c>
      <c r="AC200" s="1005"/>
      <c r="AD200" s="1005"/>
      <c r="AH200" s="16" t="str">
        <f t="shared" si="26"/>
        <v>Ä</v>
      </c>
      <c r="AI200" s="982" t="str">
        <f>J179</f>
        <v>Agriculture</v>
      </c>
      <c r="AJ200" s="982"/>
      <c r="AK200" s="982"/>
      <c r="AL200" s="982"/>
      <c r="AM200" s="982"/>
      <c r="AN200" s="982"/>
      <c r="AO200" s="982"/>
      <c r="AP200" s="982"/>
      <c r="AQ200" s="982"/>
      <c r="AR200" s="982"/>
      <c r="AS200" s="1024"/>
      <c r="AT200" s="1024"/>
      <c r="AU200" s="1024"/>
      <c r="AV200" s="128"/>
      <c r="AW200" s="1024"/>
      <c r="AX200" s="1024"/>
      <c r="AY200" s="1024"/>
      <c r="AZ200" s="128"/>
      <c r="BA200" s="1024"/>
      <c r="BB200" s="1024"/>
      <c r="BC200" s="1024"/>
      <c r="DF200" s="124"/>
    </row>
    <row r="201" spans="6:153" ht="30" customHeight="1" x14ac:dyDescent="0.25">
      <c r="F201" s="124"/>
      <c r="I201" s="16" t="str">
        <f t="shared" si="25"/>
        <v>Ä</v>
      </c>
      <c r="J201" s="982" t="str">
        <f>J180</f>
        <v>Foresterie, pêche, mines et extraction de pétrole et de gaz</v>
      </c>
      <c r="K201" s="982"/>
      <c r="L201" s="982"/>
      <c r="M201" s="982"/>
      <c r="N201" s="982"/>
      <c r="O201" s="982"/>
      <c r="P201" s="982"/>
      <c r="Q201" s="982"/>
      <c r="R201" s="982"/>
      <c r="S201" s="982"/>
      <c r="T201" s="1005" t="str">
        <f>IF(OR(gen_pop_RA="", gen_pop_MRC="",COUNTBLANK($Y$10:$Y$28)&gt;0),N.D.,EB$13)</f>
        <v>N.D.</v>
      </c>
      <c r="U201" s="1005"/>
      <c r="V201" s="1005"/>
      <c r="W201" s="128"/>
      <c r="X201" s="1005" t="str">
        <f>IF(OR(gen_pop_RA="", gen_pop_MRC="",COUNTBLANK($Y$10:$Y$28)&gt;0),N.D.,EC$13)</f>
        <v>N.D.</v>
      </c>
      <c r="Y201" s="1005"/>
      <c r="Z201" s="1005"/>
      <c r="AA201" s="127"/>
      <c r="AB201" s="1005" t="str">
        <f>IF(OR(gen_pop_RA="", gen_pop_MRC="",COUNTBLANK($Y$10:$Y$28)&gt;0),N.D.,ED$13)</f>
        <v>N.D.</v>
      </c>
      <c r="AC201" s="1005"/>
      <c r="AD201" s="1005"/>
      <c r="AH201" s="16" t="str">
        <f t="shared" si="26"/>
        <v>Ä</v>
      </c>
      <c r="AI201" s="982" t="str">
        <f>J180</f>
        <v>Foresterie, pêche, mines et extraction de pétrole et de gaz</v>
      </c>
      <c r="AJ201" s="982"/>
      <c r="AK201" s="982"/>
      <c r="AL201" s="982"/>
      <c r="AM201" s="982"/>
      <c r="AN201" s="982"/>
      <c r="AO201" s="982"/>
      <c r="AP201" s="982"/>
      <c r="AQ201" s="982"/>
      <c r="AR201" s="982"/>
      <c r="AS201" s="1024"/>
      <c r="AT201" s="1024"/>
      <c r="AU201" s="1024"/>
      <c r="AV201" s="128"/>
      <c r="AW201" s="1024"/>
      <c r="AX201" s="1024"/>
      <c r="AY201" s="1024"/>
      <c r="AZ201" s="128"/>
      <c r="BA201" s="1024"/>
      <c r="BB201" s="1024"/>
      <c r="BC201" s="1024"/>
      <c r="DF201" s="124"/>
      <c r="DH201" s="106"/>
      <c r="DI201" s="107"/>
      <c r="DJ201" s="107"/>
      <c r="DK201" s="136"/>
      <c r="DL201" s="136"/>
      <c r="DM201" s="136"/>
      <c r="DN201" s="136"/>
      <c r="DO201" s="136"/>
      <c r="DP201" s="136"/>
      <c r="DQ201" s="136"/>
      <c r="DR201" s="137"/>
      <c r="DS201" s="137"/>
      <c r="DT201" s="137"/>
      <c r="DU201" s="137"/>
      <c r="DV201" s="23"/>
      <c r="DW201" s="23"/>
      <c r="DX201" s="23"/>
      <c r="DY201" s="107"/>
      <c r="DZ201" s="107"/>
      <c r="EA201" s="107"/>
      <c r="EB201" s="107"/>
      <c r="EC201" s="107"/>
      <c r="ED201" s="107"/>
      <c r="EE201" s="107"/>
      <c r="EF201" s="107"/>
      <c r="EG201" s="107"/>
      <c r="EH201" s="107"/>
      <c r="EI201" s="108"/>
      <c r="EJ201" s="319"/>
      <c r="EK201" s="107"/>
      <c r="EL201" s="107"/>
      <c r="EM201" s="107"/>
      <c r="EN201" s="107"/>
      <c r="EO201" s="107"/>
      <c r="EP201" s="107"/>
      <c r="EQ201" s="320"/>
    </row>
    <row r="202" spans="6:153" ht="15" customHeight="1" x14ac:dyDescent="0.25">
      <c r="F202" s="124"/>
      <c r="I202" s="16" t="str">
        <f t="shared" si="25"/>
        <v>Ä</v>
      </c>
      <c r="J202" s="982" t="str">
        <f>J181</f>
        <v>Manufacturier</v>
      </c>
      <c r="K202" s="982"/>
      <c r="L202" s="982"/>
      <c r="M202" s="982"/>
      <c r="N202" s="982"/>
      <c r="O202" s="982"/>
      <c r="P202" s="982"/>
      <c r="Q202" s="982"/>
      <c r="R202" s="982"/>
      <c r="S202" s="982"/>
      <c r="T202" s="1005" t="str">
        <f>IF(OR(gen_pop_RA="", gen_pop_MRC="",COUNTBLANK($Y$10:$Y$28)&gt;0),N.D.,EB$16)</f>
        <v>N.D.</v>
      </c>
      <c r="U202" s="1005"/>
      <c r="V202" s="1005"/>
      <c r="W202" s="128"/>
      <c r="X202" s="1005" t="str">
        <f>IF(OR(gen_pop_RA="", gen_pop_MRC="",COUNTBLANK($Y$10:$Y$28)&gt;0),N.D.,EC$16)</f>
        <v>N.D.</v>
      </c>
      <c r="Y202" s="1005"/>
      <c r="Z202" s="1005"/>
      <c r="AA202" s="127"/>
      <c r="AB202" s="1005" t="str">
        <f>IF(OR(gen_pop_RA="", gen_pop_MRC="",COUNTBLANK($Y$10:$Y$28)&gt;0),N.D.,ED$16)</f>
        <v>N.D.</v>
      </c>
      <c r="AC202" s="1005"/>
      <c r="AD202" s="1005"/>
      <c r="AH202" s="16" t="str">
        <f t="shared" si="26"/>
        <v>Ä</v>
      </c>
      <c r="AI202" s="982" t="str">
        <f>J181</f>
        <v>Manufacturier</v>
      </c>
      <c r="AJ202" s="982"/>
      <c r="AK202" s="982"/>
      <c r="AL202" s="982"/>
      <c r="AM202" s="982"/>
      <c r="AN202" s="982"/>
      <c r="AO202" s="982"/>
      <c r="AP202" s="982"/>
      <c r="AQ202" s="982"/>
      <c r="AR202" s="982"/>
      <c r="AS202" s="1024"/>
      <c r="AT202" s="1024"/>
      <c r="AU202" s="1024"/>
      <c r="AV202" s="128"/>
      <c r="AW202" s="1024"/>
      <c r="AX202" s="1024"/>
      <c r="AY202" s="1024"/>
      <c r="AZ202" s="128"/>
      <c r="BA202" s="1024"/>
      <c r="BB202" s="1024"/>
      <c r="BC202" s="1024"/>
      <c r="DF202" s="124"/>
      <c r="DH202" s="57"/>
      <c r="DK202" s="1110" t="s">
        <v>488</v>
      </c>
      <c r="DL202" s="1110"/>
      <c r="DM202" s="1110"/>
      <c r="DN202" s="1110"/>
      <c r="DO202" s="1110"/>
      <c r="DP202" s="1110"/>
      <c r="DQ202" s="1110"/>
      <c r="DR202" s="1110"/>
      <c r="DS202" s="1110"/>
      <c r="DT202" s="1110"/>
      <c r="DU202" s="1110"/>
      <c r="DV202" s="1110"/>
      <c r="DW202" s="1110"/>
      <c r="DX202" s="1110"/>
      <c r="DY202" s="1110"/>
      <c r="DZ202" s="1110"/>
      <c r="EA202" s="1110"/>
      <c r="EB202" s="1110"/>
      <c r="EC202" s="1110"/>
      <c r="ED202" s="1110"/>
      <c r="EE202" s="1110"/>
      <c r="EF202" s="1110"/>
      <c r="EG202" s="1110"/>
      <c r="EH202" s="1110"/>
      <c r="EI202" s="27"/>
      <c r="EJ202" s="328"/>
      <c r="EM202" s="1131" t="s">
        <v>660</v>
      </c>
      <c r="EN202" s="1131"/>
      <c r="EO202" s="1131"/>
      <c r="EP202" s="1131"/>
      <c r="EQ202" s="1132"/>
    </row>
    <row r="203" spans="6:153" ht="15" customHeight="1" x14ac:dyDescent="0.25">
      <c r="F203" s="124"/>
      <c r="I203" s="16" t="str">
        <f t="shared" si="25"/>
        <v>Ä</v>
      </c>
      <c r="J203" s="982" t="str">
        <f>J182</f>
        <v>Utilités publiques</v>
      </c>
      <c r="K203" s="982"/>
      <c r="L203" s="982"/>
      <c r="M203" s="982"/>
      <c r="N203" s="982"/>
      <c r="O203" s="982"/>
      <c r="P203" s="982"/>
      <c r="Q203" s="982"/>
      <c r="R203" s="982"/>
      <c r="S203" s="982"/>
      <c r="T203" s="1005" t="str">
        <f>IF(OR(gen_pop_RA="", gen_pop_MRC="",COUNTBLANK($Y$10:$Y$28)&gt;0),N.D.,EB$14)</f>
        <v>N.D.</v>
      </c>
      <c r="U203" s="1005"/>
      <c r="V203" s="1005"/>
      <c r="W203" s="128"/>
      <c r="X203" s="1005" t="str">
        <f>IF(OR(gen_pop_RA="", gen_pop_MRC="",COUNTBLANK($Y$10:$Y$28)&gt;0),N.D.,EC$14)</f>
        <v>N.D.</v>
      </c>
      <c r="Y203" s="1005"/>
      <c r="Z203" s="1005"/>
      <c r="AA203" s="127"/>
      <c r="AB203" s="1005" t="str">
        <f>IF(OR(gen_pop_RA="", gen_pop_MRC="",COUNTBLANK($Y$10:$Y$28)&gt;0),N.D.,ED$14)</f>
        <v>N.D.</v>
      </c>
      <c r="AC203" s="1005"/>
      <c r="AD203" s="1005"/>
      <c r="AH203" s="16" t="str">
        <f t="shared" si="26"/>
        <v>Ä</v>
      </c>
      <c r="AI203" s="982" t="str">
        <f>J182</f>
        <v>Utilités publiques</v>
      </c>
      <c r="AJ203" s="982"/>
      <c r="AK203" s="982"/>
      <c r="AL203" s="982"/>
      <c r="AM203" s="982"/>
      <c r="AN203" s="982"/>
      <c r="AO203" s="982"/>
      <c r="AP203" s="982"/>
      <c r="AQ203" s="982"/>
      <c r="AR203" s="982"/>
      <c r="AS203" s="1024"/>
      <c r="AT203" s="1024"/>
      <c r="AU203" s="1024"/>
      <c r="AV203" s="128"/>
      <c r="AW203" s="1024"/>
      <c r="AX203" s="1024"/>
      <c r="AY203" s="1024"/>
      <c r="AZ203" s="128"/>
      <c r="BA203" s="1024"/>
      <c r="BB203" s="1024"/>
      <c r="BC203" s="1024"/>
      <c r="DF203" s="124"/>
      <c r="DH203" s="57"/>
      <c r="DK203" s="125"/>
      <c r="DL203" s="125"/>
      <c r="DM203" s="125"/>
      <c r="DN203" s="125"/>
      <c r="DO203" s="125"/>
      <c r="DP203" s="125"/>
      <c r="DQ203" s="125"/>
      <c r="DR203" s="135"/>
      <c r="DS203" s="135"/>
      <c r="DT203" s="135"/>
      <c r="DU203" s="135"/>
      <c r="DV203" s="19"/>
      <c r="DW203" s="19"/>
      <c r="DX203" s="19"/>
      <c r="EI203" s="27"/>
      <c r="EJ203" s="328"/>
      <c r="EQ203" s="329"/>
    </row>
    <row r="204" spans="6:153" ht="15" customHeight="1" x14ac:dyDescent="0.25">
      <c r="F204" s="124"/>
      <c r="I204" s="16" t="str">
        <f t="shared" si="25"/>
        <v>Ä</v>
      </c>
      <c r="J204" s="982" t="str">
        <f>J183</f>
        <v>Transport et entreposage</v>
      </c>
      <c r="K204" s="982"/>
      <c r="L204" s="982"/>
      <c r="M204" s="982"/>
      <c r="N204" s="982"/>
      <c r="O204" s="982"/>
      <c r="P204" s="982"/>
      <c r="Q204" s="982"/>
      <c r="R204" s="982"/>
      <c r="S204" s="982"/>
      <c r="T204" s="1005" t="str">
        <f>IF(OR(gen_pop_RA="", gen_pop_MRC="",COUNTBLANK($Y$10:$Y$28)&gt;0),N.D.,EB$19)</f>
        <v>N.D.</v>
      </c>
      <c r="U204" s="1005"/>
      <c r="V204" s="1005"/>
      <c r="W204" s="128"/>
      <c r="X204" s="1005" t="str">
        <f>IF(OR(gen_pop_RA="", gen_pop_MRC="",COUNTBLANK($Y$10:$Y$28)&gt;0),N.D.,EC$19)</f>
        <v>N.D.</v>
      </c>
      <c r="Y204" s="1005"/>
      <c r="Z204" s="1005"/>
      <c r="AA204" s="127"/>
      <c r="AB204" s="1005" t="str">
        <f>IF(OR(gen_pop_RA="", gen_pop_MRC="",COUNTBLANK($Y$10:$Y$28)&gt;0),N.D.,ED$19)</f>
        <v>N.D.</v>
      </c>
      <c r="AC204" s="1005"/>
      <c r="AD204" s="1005"/>
      <c r="AH204" s="16" t="str">
        <f t="shared" si="26"/>
        <v>Ä</v>
      </c>
      <c r="AI204" s="982" t="str">
        <f>J183</f>
        <v>Transport et entreposage</v>
      </c>
      <c r="AJ204" s="982"/>
      <c r="AK204" s="982"/>
      <c r="AL204" s="982"/>
      <c r="AM204" s="982"/>
      <c r="AN204" s="982"/>
      <c r="AO204" s="982"/>
      <c r="AP204" s="982"/>
      <c r="AQ204" s="982"/>
      <c r="AR204" s="982"/>
      <c r="AS204" s="1024"/>
      <c r="AT204" s="1024"/>
      <c r="AU204" s="1024"/>
      <c r="AV204" s="128"/>
      <c r="AW204" s="1024"/>
      <c r="AX204" s="1024"/>
      <c r="AY204" s="1024"/>
      <c r="AZ204" s="128"/>
      <c r="BA204" s="1024"/>
      <c r="BB204" s="1024"/>
      <c r="BC204" s="1024"/>
      <c r="DF204" s="124"/>
      <c r="DH204" s="57"/>
      <c r="DK204" s="1077" t="s">
        <v>478</v>
      </c>
      <c r="DL204" s="1077"/>
      <c r="DM204" s="1077"/>
      <c r="DN204" s="1077"/>
      <c r="DO204" s="1077"/>
      <c r="DP204" s="1077"/>
      <c r="DQ204" s="1077"/>
      <c r="DR204" s="1077"/>
      <c r="DS204" s="1077"/>
      <c r="DT204" s="1077"/>
      <c r="DU204" s="1077"/>
      <c r="DV204" s="138"/>
      <c r="DW204" s="138"/>
      <c r="DX204" s="1077" t="s">
        <v>479</v>
      </c>
      <c r="DY204" s="1077"/>
      <c r="DZ204" s="1077"/>
      <c r="EA204" s="1077"/>
      <c r="EB204" s="1077"/>
      <c r="EC204" s="1077"/>
      <c r="ED204" s="1077"/>
      <c r="EE204" s="1077"/>
      <c r="EF204" s="1077"/>
      <c r="EG204" s="1077"/>
      <c r="EH204" s="1077"/>
      <c r="EI204" s="27"/>
      <c r="EJ204" s="328"/>
      <c r="EM204" s="699" t="s">
        <v>480</v>
      </c>
      <c r="EN204" s="699"/>
      <c r="EO204" s="699"/>
      <c r="EP204" s="699"/>
      <c r="EQ204" s="700"/>
    </row>
    <row r="205" spans="6:153" ht="15" customHeight="1" x14ac:dyDescent="0.25">
      <c r="F205" s="124"/>
      <c r="I205" s="701" t="str">
        <f t="shared" si="25"/>
        <v>Commercial</v>
      </c>
      <c r="J205" s="701"/>
      <c r="K205" s="701"/>
      <c r="L205" s="701"/>
      <c r="M205" s="701"/>
      <c r="N205" s="701"/>
      <c r="O205" s="701"/>
      <c r="P205" s="701"/>
      <c r="Q205" s="701"/>
      <c r="R205" s="701"/>
      <c r="S205" s="701"/>
      <c r="T205" s="1009" t="str">
        <f>IF(COUNTIF(T206:T207,N.D.)&gt;0,N.D.,SUM(T206:T207))</f>
        <v>N.D.</v>
      </c>
      <c r="U205" s="1009"/>
      <c r="V205" s="1009"/>
      <c r="W205" s="171"/>
      <c r="X205" s="1009" t="str">
        <f>IF(COUNTIF(X206:X207,N.D.)&gt;0,N.D.,SUM(X206:X207))</f>
        <v>N.D.</v>
      </c>
      <c r="Y205" s="1009"/>
      <c r="Z205" s="1009"/>
      <c r="AA205" s="170"/>
      <c r="AB205" s="1009" t="str">
        <f>IF(COUNTIF(AB206:AB207,N.D.)&gt;0,N.D.,SUM(AB206:AB207))</f>
        <v>N.D.</v>
      </c>
      <c r="AC205" s="1009"/>
      <c r="AD205" s="1009"/>
      <c r="AH205" s="701" t="str">
        <f t="shared" si="26"/>
        <v>Commercial</v>
      </c>
      <c r="AI205" s="701"/>
      <c r="AJ205" s="701"/>
      <c r="AK205" s="701"/>
      <c r="AL205" s="701"/>
      <c r="AM205" s="701"/>
      <c r="AN205" s="701"/>
      <c r="AO205" s="701"/>
      <c r="AP205" s="701"/>
      <c r="AQ205" s="701"/>
      <c r="AR205" s="701"/>
      <c r="AS205" s="1009" t="str">
        <f>IF(COUNTA(AS206:AS207)=0,"",IF(COUNTBLANK(AS206:AS207)&gt;0,N.D.,SUM(AS206:AS207)))</f>
        <v/>
      </c>
      <c r="AT205" s="1009"/>
      <c r="AU205" s="1009"/>
      <c r="AV205" s="171"/>
      <c r="AW205" s="1009" t="str">
        <f>IF(COUNTA(AW206:AW207)=0,"",IF(COUNTBLANK(AW206:AW207)&gt;0,N.D.,SUM(AW206:AW207)))</f>
        <v/>
      </c>
      <c r="AX205" s="1009"/>
      <c r="AY205" s="1009"/>
      <c r="AZ205" s="171"/>
      <c r="BA205" s="1009" t="str">
        <f>IF(COUNTA(BA206:BA207)=0,"",IF(COUNTBLANK(BA206:BA207)&gt;0,N.D.,SUM(BA206:BA207)))</f>
        <v/>
      </c>
      <c r="BB205" s="1009"/>
      <c r="BC205" s="1009"/>
      <c r="DF205" s="124"/>
      <c r="DH205" s="57"/>
      <c r="DK205" s="1023" t="s">
        <v>498</v>
      </c>
      <c r="DL205" s="1023"/>
      <c r="DM205" s="1023"/>
      <c r="DO205" s="1023" t="s">
        <v>499</v>
      </c>
      <c r="DP205" s="1023"/>
      <c r="DQ205" s="1023"/>
      <c r="DS205" s="1023" t="s">
        <v>484</v>
      </c>
      <c r="DT205" s="1023"/>
      <c r="DU205" s="1023"/>
      <c r="DX205" s="1023" t="s">
        <v>498</v>
      </c>
      <c r="DY205" s="1023"/>
      <c r="DZ205" s="1023"/>
      <c r="EB205" s="1023" t="s">
        <v>499</v>
      </c>
      <c r="EC205" s="1023"/>
      <c r="ED205" s="1023"/>
      <c r="EF205" s="1023" t="s">
        <v>484</v>
      </c>
      <c r="EG205" s="1023"/>
      <c r="EH205" s="1023"/>
      <c r="EI205" s="27"/>
      <c r="EJ205" s="328"/>
      <c r="EM205" s="26" t="str">
        <f>DK205</f>
        <v>R. verts</v>
      </c>
      <c r="EN205" s="26"/>
      <c r="EO205" s="26" t="str">
        <f>DO205</f>
        <v>R. alim.</v>
      </c>
      <c r="EP205" s="26"/>
      <c r="EQ205" s="332" t="str">
        <f>DS205</f>
        <v>Autres R.O.</v>
      </c>
    </row>
    <row r="206" spans="6:153" ht="30" customHeight="1" x14ac:dyDescent="0.25">
      <c r="F206" s="124"/>
      <c r="I206" s="16" t="str">
        <f t="shared" si="25"/>
        <v>Ä</v>
      </c>
      <c r="J206" s="982" t="str">
        <f>J185</f>
        <v>Hébergement et services de restauration</v>
      </c>
      <c r="K206" s="982"/>
      <c r="L206" s="982"/>
      <c r="M206" s="982"/>
      <c r="N206" s="982"/>
      <c r="O206" s="982"/>
      <c r="P206" s="982"/>
      <c r="Q206" s="982"/>
      <c r="R206" s="982"/>
      <c r="S206" s="982"/>
      <c r="T206" s="1005" t="str">
        <f>IF(OR(gen_pop_RA="", gen_pop_MRC="",COUNTBLANK($Y$10:$Y$28)&gt;0),N.D.,EB$26)</f>
        <v>N.D.</v>
      </c>
      <c r="U206" s="1005"/>
      <c r="V206" s="1005"/>
      <c r="W206" s="128"/>
      <c r="X206" s="1005" t="str">
        <f>IF(OR(gen_pop_RA="", gen_pop_MRC="",COUNTBLANK($Y$10:$Y$28)&gt;0),N.D.,EC$26)</f>
        <v>N.D.</v>
      </c>
      <c r="Y206" s="1005"/>
      <c r="Z206" s="1005"/>
      <c r="AA206" s="127"/>
      <c r="AB206" s="1005" t="str">
        <f>IF(OR(gen_pop_RA="", gen_pop_MRC="",COUNTBLANK($Y$10:$Y$28)&gt;0),N.D.,ED$26)</f>
        <v>N.D.</v>
      </c>
      <c r="AC206" s="1005"/>
      <c r="AD206" s="1005"/>
      <c r="AH206" s="16" t="str">
        <f t="shared" si="26"/>
        <v>Ä</v>
      </c>
      <c r="AI206" s="982" t="str">
        <f>J185</f>
        <v>Hébergement et services de restauration</v>
      </c>
      <c r="AJ206" s="982"/>
      <c r="AK206" s="982"/>
      <c r="AL206" s="982"/>
      <c r="AM206" s="982"/>
      <c r="AN206" s="982"/>
      <c r="AO206" s="982"/>
      <c r="AP206" s="982"/>
      <c r="AQ206" s="982"/>
      <c r="AR206" s="982"/>
      <c r="AS206" s="1024"/>
      <c r="AT206" s="1024"/>
      <c r="AU206" s="1024"/>
      <c r="AV206" s="128"/>
      <c r="AW206" s="1024"/>
      <c r="AX206" s="1024"/>
      <c r="AY206" s="1024"/>
      <c r="AZ206" s="128"/>
      <c r="BA206" s="1024"/>
      <c r="BB206" s="1024"/>
      <c r="BC206" s="1024"/>
      <c r="DF206" s="124"/>
      <c r="DH206" s="1006" t="s">
        <v>276</v>
      </c>
      <c r="DI206" s="699"/>
      <c r="DJ206" s="699"/>
      <c r="DK206" s="1005" t="str">
        <f>IF(ici_donnees_autres=menu_utilisateur,DK197,DK178)</f>
        <v>N.D.</v>
      </c>
      <c r="DL206" s="1005"/>
      <c r="DM206" s="1005"/>
      <c r="DN206" s="128"/>
      <c r="DO206" s="1005" t="str">
        <f>IF(ici_donnees_autres=menu_utilisateur,DO197,DO178)</f>
        <v>N.D.</v>
      </c>
      <c r="DP206" s="1005"/>
      <c r="DQ206" s="1005"/>
      <c r="DR206" s="92"/>
      <c r="DS206" s="1005" t="str">
        <f>IF(ici_donnees_autres=menu_utilisateur,DS197,DS178)</f>
        <v>N.D.</v>
      </c>
      <c r="DT206" s="1005"/>
      <c r="DU206" s="1005"/>
      <c r="DV206" s="92"/>
      <c r="DW206" s="92"/>
      <c r="DX206" s="1005" t="str">
        <f>IF(ici_donnees_autres=menu_utilisateur,DX197,DX178)</f>
        <v>N.D.</v>
      </c>
      <c r="DY206" s="1005"/>
      <c r="DZ206" s="1005"/>
      <c r="EA206" s="92"/>
      <c r="EB206" s="1005" t="str">
        <f>IF(ici_donnees_autres=menu_utilisateur,EB197,EB178)</f>
        <v>N.D.</v>
      </c>
      <c r="EC206" s="1005"/>
      <c r="ED206" s="1005"/>
      <c r="EE206" s="92"/>
      <c r="EF206" s="1005" t="str">
        <f>IF(ici_donnees_autres=menu_utilisateur,EF197,EF178)</f>
        <v>N.D.</v>
      </c>
      <c r="EG206" s="1005"/>
      <c r="EH206" s="1005"/>
      <c r="EI206" s="27"/>
      <c r="EJ206" s="328"/>
      <c r="EM206" s="91">
        <f>SUM(DK206,DX206)</f>
        <v>0</v>
      </c>
      <c r="EO206" s="91">
        <f>SUM(DO206,EB206)</f>
        <v>0</v>
      </c>
      <c r="EQ206" s="331">
        <f>SUM(DS206,EF206)</f>
        <v>0</v>
      </c>
    </row>
    <row r="207" spans="6:153" ht="15" customHeight="1" thickBot="1" x14ac:dyDescent="0.3">
      <c r="F207" s="124"/>
      <c r="I207" s="16" t="str">
        <f t="shared" si="25"/>
        <v>Ä</v>
      </c>
      <c r="J207" s="982" t="str">
        <f>J186</f>
        <v>Commerce de gros et de détail</v>
      </c>
      <c r="K207" s="982"/>
      <c r="L207" s="982"/>
      <c r="M207" s="982"/>
      <c r="N207" s="982"/>
      <c r="O207" s="982"/>
      <c r="P207" s="982"/>
      <c r="Q207" s="982"/>
      <c r="R207" s="982"/>
      <c r="S207" s="982"/>
      <c r="T207" s="1005" t="str">
        <f>IF(OR(gen_pop_RA="", gen_pop_MRC="",COUNTBLANK($Y$10:$Y$28)&gt;0),N.D.,EB$18)</f>
        <v>N.D.</v>
      </c>
      <c r="U207" s="1005"/>
      <c r="V207" s="1005"/>
      <c r="W207" s="128"/>
      <c r="X207" s="1005" t="str">
        <f>IF(OR(gen_pop_RA="", gen_pop_MRC="",COUNTBLANK($Y$10:$Y$28)&gt;0),N.D.,EC$18)</f>
        <v>N.D.</v>
      </c>
      <c r="Y207" s="1005"/>
      <c r="Z207" s="1005"/>
      <c r="AA207" s="127"/>
      <c r="AB207" s="1005" t="str">
        <f>IF(OR(gen_pop_RA="", gen_pop_MRC="",COUNTBLANK($Y$10:$Y$28)&gt;0),N.D.,ED$18)</f>
        <v>N.D.</v>
      </c>
      <c r="AC207" s="1005"/>
      <c r="AD207" s="1005"/>
      <c r="AH207" s="16" t="str">
        <f t="shared" si="26"/>
        <v>Ä</v>
      </c>
      <c r="AI207" s="982" t="str">
        <f>J186</f>
        <v>Commerce de gros et de détail</v>
      </c>
      <c r="AJ207" s="982"/>
      <c r="AK207" s="982"/>
      <c r="AL207" s="982"/>
      <c r="AM207" s="982"/>
      <c r="AN207" s="982"/>
      <c r="AO207" s="982"/>
      <c r="AP207" s="982"/>
      <c r="AQ207" s="982"/>
      <c r="AR207" s="982"/>
      <c r="AS207" s="1024"/>
      <c r="AT207" s="1024"/>
      <c r="AU207" s="1024"/>
      <c r="AV207" s="128"/>
      <c r="AW207" s="1024"/>
      <c r="AX207" s="1024"/>
      <c r="AY207" s="1024"/>
      <c r="AZ207" s="128"/>
      <c r="BA207" s="1024"/>
      <c r="BB207" s="1024"/>
      <c r="BC207" s="1024"/>
      <c r="DF207" s="124"/>
      <c r="DH207" s="58"/>
      <c r="DI207" s="34"/>
      <c r="DJ207" s="34"/>
      <c r="DK207" s="139"/>
      <c r="DL207" s="139"/>
      <c r="DM207" s="139"/>
      <c r="DN207" s="139"/>
      <c r="DO207" s="139"/>
      <c r="DP207" s="139"/>
      <c r="DQ207" s="139"/>
      <c r="DR207" s="140"/>
      <c r="DS207" s="140"/>
      <c r="DT207" s="140"/>
      <c r="DU207" s="140"/>
      <c r="DV207" s="141"/>
      <c r="DW207" s="141"/>
      <c r="DX207" s="141"/>
      <c r="DY207" s="34"/>
      <c r="DZ207" s="34"/>
      <c r="EA207" s="34"/>
      <c r="EB207" s="34"/>
      <c r="EC207" s="34"/>
      <c r="ED207" s="34"/>
      <c r="EE207" s="34"/>
      <c r="EF207" s="34"/>
      <c r="EG207" s="34"/>
      <c r="EH207" s="34"/>
      <c r="EI207" s="35"/>
      <c r="EJ207" s="321"/>
      <c r="EK207" s="322"/>
      <c r="EL207" s="322"/>
      <c r="EM207" s="322"/>
      <c r="EN207" s="322"/>
      <c r="EO207" s="322"/>
      <c r="EP207" s="322"/>
      <c r="EQ207" s="323"/>
    </row>
    <row r="208" spans="6:153" ht="15" customHeight="1" x14ac:dyDescent="0.25">
      <c r="F208" s="124"/>
      <c r="I208" s="701" t="str">
        <f t="shared" si="25"/>
        <v>Institutionnel</v>
      </c>
      <c r="J208" s="701"/>
      <c r="K208" s="701"/>
      <c r="L208" s="701"/>
      <c r="M208" s="701"/>
      <c r="N208" s="701"/>
      <c r="O208" s="701"/>
      <c r="P208" s="701"/>
      <c r="Q208" s="701"/>
      <c r="R208" s="701"/>
      <c r="S208" s="701"/>
      <c r="T208" s="1009" t="str">
        <f>IF(COUNTIF(T209:T211,N.D.)&gt;0,N.D.,SUM(T209:T211))</f>
        <v>N.D.</v>
      </c>
      <c r="U208" s="1009"/>
      <c r="V208" s="1009"/>
      <c r="W208" s="171"/>
      <c r="X208" s="1009" t="str">
        <f>IF(COUNTIF(X209:X211,N.D.)&gt;0,N.D.,SUM(X209:X211))</f>
        <v>N.D.</v>
      </c>
      <c r="Y208" s="1009"/>
      <c r="Z208" s="1009"/>
      <c r="AA208" s="170"/>
      <c r="AB208" s="1009" t="str">
        <f>IF(COUNTIF(AB209:AB211,N.D.)&gt;0,N.D.,SUM(AB209:AB211))</f>
        <v>N.D.</v>
      </c>
      <c r="AC208" s="1009"/>
      <c r="AD208" s="1009"/>
      <c r="AH208" s="701" t="str">
        <f t="shared" si="26"/>
        <v>Institutionnel</v>
      </c>
      <c r="AI208" s="701"/>
      <c r="AJ208" s="701"/>
      <c r="AK208" s="701"/>
      <c r="AL208" s="701"/>
      <c r="AM208" s="701"/>
      <c r="AN208" s="701"/>
      <c r="AO208" s="701"/>
      <c r="AP208" s="701"/>
      <c r="AQ208" s="701"/>
      <c r="AR208" s="701"/>
      <c r="AS208" s="1009" t="str">
        <f>IF(COUNTA(AS209:AS211)=0,"",IF(COUNTBLANK(AS209:AS211)&gt;0,N.D.,SUM(AS209:AS211)))</f>
        <v/>
      </c>
      <c r="AT208" s="1009"/>
      <c r="AU208" s="1009"/>
      <c r="AV208" s="171"/>
      <c r="AW208" s="1009" t="str">
        <f>IF(COUNTA(AW209:AW211)=0,"",IF(COUNTBLANK(AW209:AW211)&gt;0,N.D.,SUM(AW209:AW211)))</f>
        <v/>
      </c>
      <c r="AX208" s="1009"/>
      <c r="AY208" s="1009"/>
      <c r="AZ208" s="171"/>
      <c r="BA208" s="1009" t="str">
        <f>IF(COUNTA(BA209:BA211)=0,"",IF(COUNTBLANK(BA209:BA211)&gt;0,N.D.,SUM(BA209:BA211)))</f>
        <v/>
      </c>
      <c r="BB208" s="1009"/>
      <c r="BC208" s="1009"/>
      <c r="DF208" s="124"/>
    </row>
    <row r="209" spans="6:110" ht="15" customHeight="1" x14ac:dyDescent="0.25">
      <c r="F209" s="124"/>
      <c r="I209" s="16" t="str">
        <f t="shared" si="25"/>
        <v>Ä</v>
      </c>
      <c r="J209" s="982" t="str">
        <f>J188</f>
        <v>Services et bureaux</v>
      </c>
      <c r="K209" s="982"/>
      <c r="L209" s="982"/>
      <c r="M209" s="982"/>
      <c r="N209" s="982"/>
      <c r="O209" s="982"/>
      <c r="P209" s="982"/>
      <c r="Q209" s="982"/>
      <c r="R209" s="982"/>
      <c r="S209" s="982"/>
      <c r="T209" s="1005" t="str">
        <f>IF(OR(gen_pop_RA="", gen_pop_MRC="",COUNTBLANK($Y$10:$Y$28)&gt;0),N.D.,SUM(EB$20,EB$21,EB$22,EB$25,EB$27,EB$28))</f>
        <v>N.D.</v>
      </c>
      <c r="U209" s="1005"/>
      <c r="V209" s="1005"/>
      <c r="W209" s="128"/>
      <c r="X209" s="1005" t="str">
        <f>IF(OR(gen_pop_RA="", gen_pop_MRC="",COUNTBLANK($Y$10:$Y$28)&gt;0),N.D.,SUM(EC$20,EC$21,EC$22,EC$25,EC$27,EC$28))</f>
        <v>N.D.</v>
      </c>
      <c r="Y209" s="1005"/>
      <c r="Z209" s="1005"/>
      <c r="AA209" s="127"/>
      <c r="AB209" s="1005" t="str">
        <f>IF(OR(gen_pop_RA="", gen_pop_MRC="",COUNTBLANK($Y$10:$Y$28)&gt;0),N.D.,SUM(ED$20,ED$21,ED$22,ED$25,ED$27,ED$28))</f>
        <v>N.D.</v>
      </c>
      <c r="AC209" s="1005"/>
      <c r="AD209" s="1005"/>
      <c r="AH209" s="16" t="str">
        <f t="shared" si="26"/>
        <v>Ä</v>
      </c>
      <c r="AI209" s="982" t="str">
        <f>J188</f>
        <v>Services et bureaux</v>
      </c>
      <c r="AJ209" s="982"/>
      <c r="AK209" s="982"/>
      <c r="AL209" s="982"/>
      <c r="AM209" s="982"/>
      <c r="AN209" s="982"/>
      <c r="AO209" s="982"/>
      <c r="AP209" s="982"/>
      <c r="AQ209" s="982"/>
      <c r="AR209" s="982"/>
      <c r="AS209" s="1024"/>
      <c r="AT209" s="1024"/>
      <c r="AU209" s="1024"/>
      <c r="AV209" s="128"/>
      <c r="AW209" s="1024"/>
      <c r="AX209" s="1024"/>
      <c r="AY209" s="1024"/>
      <c r="AZ209" s="128"/>
      <c r="BA209" s="1024"/>
      <c r="BB209" s="1024"/>
      <c r="BC209" s="1024"/>
      <c r="DF209" s="124"/>
    </row>
    <row r="210" spans="6:110" ht="15" customHeight="1" x14ac:dyDescent="0.25">
      <c r="F210" s="124"/>
      <c r="I210" s="16" t="str">
        <f t="shared" si="25"/>
        <v>Ä</v>
      </c>
      <c r="J210" s="982" t="str">
        <f>J189</f>
        <v>Services d'enseignement</v>
      </c>
      <c r="K210" s="982"/>
      <c r="L210" s="982"/>
      <c r="M210" s="982"/>
      <c r="N210" s="982"/>
      <c r="O210" s="982"/>
      <c r="P210" s="982"/>
      <c r="Q210" s="982"/>
      <c r="R210" s="982"/>
      <c r="S210" s="982"/>
      <c r="T210" s="1005" t="str">
        <f>IF(OR(gen_pop_RA="", gen_pop_MRC="",COUNTBLANK($Y$10:$Y$28)&gt;0),N.D.,EB$23)</f>
        <v>N.D.</v>
      </c>
      <c r="U210" s="1005"/>
      <c r="V210" s="1005"/>
      <c r="W210" s="128"/>
      <c r="X210" s="1005" t="str">
        <f>IF(OR(gen_pop_RA="", gen_pop_MRC="",COUNTBLANK($Y$10:$Y$28)&gt;0),N.D.,EC$23)</f>
        <v>N.D.</v>
      </c>
      <c r="Y210" s="1005"/>
      <c r="Z210" s="1005"/>
      <c r="AA210" s="127"/>
      <c r="AB210" s="1005" t="str">
        <f>IF(OR(gen_pop_RA="", gen_pop_MRC="",COUNTBLANK($Y$10:$Y$28)&gt;0),N.D.,ED$23)</f>
        <v>N.D.</v>
      </c>
      <c r="AC210" s="1005"/>
      <c r="AD210" s="1005"/>
      <c r="AH210" s="16" t="str">
        <f t="shared" si="26"/>
        <v>Ä</v>
      </c>
      <c r="AI210" s="982" t="str">
        <f>J189</f>
        <v>Services d'enseignement</v>
      </c>
      <c r="AJ210" s="982"/>
      <c r="AK210" s="982"/>
      <c r="AL210" s="982"/>
      <c r="AM210" s="982"/>
      <c r="AN210" s="982"/>
      <c r="AO210" s="982"/>
      <c r="AP210" s="982"/>
      <c r="AQ210" s="982"/>
      <c r="AR210" s="982"/>
      <c r="AS210" s="1024"/>
      <c r="AT210" s="1024"/>
      <c r="AU210" s="1024"/>
      <c r="AV210" s="128"/>
      <c r="AW210" s="1024"/>
      <c r="AX210" s="1024"/>
      <c r="AY210" s="1024"/>
      <c r="AZ210" s="128"/>
      <c r="BA210" s="1024"/>
      <c r="BB210" s="1024"/>
      <c r="BC210" s="1024"/>
      <c r="DF210" s="124"/>
    </row>
    <row r="211" spans="6:110" ht="15" customHeight="1" x14ac:dyDescent="0.25">
      <c r="F211" s="124"/>
      <c r="I211" s="16" t="str">
        <f t="shared" si="25"/>
        <v>Ä</v>
      </c>
      <c r="J211" s="982" t="str">
        <f>J190</f>
        <v>Soins de santé</v>
      </c>
      <c r="K211" s="982"/>
      <c r="L211" s="982"/>
      <c r="M211" s="982"/>
      <c r="N211" s="982"/>
      <c r="O211" s="982"/>
      <c r="P211" s="982"/>
      <c r="Q211" s="982"/>
      <c r="R211" s="982"/>
      <c r="S211" s="982"/>
      <c r="T211" s="1005" t="str">
        <f>IF(OR(gen_pop_RA="", gen_pop_MRC="",COUNTBLANK($Y$10:$Y$28)&gt;0),N.D.,EB$24)</f>
        <v>N.D.</v>
      </c>
      <c r="U211" s="1005"/>
      <c r="V211" s="1005"/>
      <c r="W211" s="128"/>
      <c r="X211" s="1005" t="str">
        <f>IF(OR(gen_pop_RA="", gen_pop_MRC="",COUNTBLANK($Y$10:$Y$28)&gt;0),N.D.,EC$24)</f>
        <v>N.D.</v>
      </c>
      <c r="Y211" s="1005"/>
      <c r="Z211" s="1005"/>
      <c r="AA211" s="127"/>
      <c r="AB211" s="1005" t="str">
        <f>IF(OR(gen_pop_RA="", gen_pop_MRC="",COUNTBLANK($Y$10:$Y$28)&gt;0),N.D.,ED$24)</f>
        <v>N.D.</v>
      </c>
      <c r="AC211" s="1005"/>
      <c r="AD211" s="1005"/>
      <c r="AH211" s="16" t="str">
        <f t="shared" si="26"/>
        <v>Ä</v>
      </c>
      <c r="AI211" s="982" t="str">
        <f>J190</f>
        <v>Soins de santé</v>
      </c>
      <c r="AJ211" s="982"/>
      <c r="AK211" s="982"/>
      <c r="AL211" s="982"/>
      <c r="AM211" s="982"/>
      <c r="AN211" s="982"/>
      <c r="AO211" s="982"/>
      <c r="AP211" s="982"/>
      <c r="AQ211" s="982"/>
      <c r="AR211" s="982"/>
      <c r="AS211" s="1024"/>
      <c r="AT211" s="1024"/>
      <c r="AU211" s="1024"/>
      <c r="AV211" s="128"/>
      <c r="AW211" s="1024"/>
      <c r="AX211" s="1024"/>
      <c r="AY211" s="1024"/>
      <c r="AZ211" s="128"/>
      <c r="BA211" s="1024"/>
      <c r="BB211" s="1024"/>
      <c r="BC211" s="1024"/>
      <c r="DF211" s="124"/>
    </row>
    <row r="212" spans="6:110" ht="11.25" customHeight="1" x14ac:dyDescent="0.25">
      <c r="F212" s="124"/>
      <c r="I212" s="129"/>
      <c r="J212" s="129"/>
      <c r="K212" s="129"/>
      <c r="L212" s="129"/>
      <c r="M212" s="129"/>
      <c r="N212" s="129"/>
      <c r="O212" s="129"/>
      <c r="P212" s="129"/>
      <c r="Q212" s="63"/>
      <c r="R212" s="63"/>
      <c r="S212" s="63"/>
      <c r="T212" s="63"/>
      <c r="U212" s="63"/>
      <c r="V212" s="63"/>
      <c r="W212" s="63"/>
      <c r="X212" s="63"/>
      <c r="Y212" s="63"/>
      <c r="Z212" s="63"/>
      <c r="AB212" s="63"/>
      <c r="AC212" s="63"/>
      <c r="AD212" s="63"/>
      <c r="AH212" s="129"/>
      <c r="AI212" s="129"/>
      <c r="AJ212" s="129"/>
      <c r="AK212" s="129"/>
      <c r="AL212" s="129"/>
      <c r="AM212" s="129"/>
      <c r="AN212" s="129"/>
      <c r="AO212" s="129"/>
      <c r="AP212" s="63"/>
      <c r="AQ212" s="63"/>
      <c r="AR212" s="63"/>
      <c r="AS212" s="63"/>
      <c r="AT212" s="63"/>
      <c r="AU212" s="63"/>
      <c r="AV212" s="63"/>
      <c r="AW212" s="63"/>
      <c r="AX212" s="63"/>
      <c r="AY212" s="63"/>
      <c r="AZ212" s="63"/>
      <c r="BA212" s="63"/>
      <c r="BB212" s="63"/>
      <c r="BC212" s="63"/>
      <c r="DF212" s="124"/>
    </row>
    <row r="213" spans="6:110" ht="15" customHeight="1" x14ac:dyDescent="0.25">
      <c r="F213" s="124"/>
      <c r="AH213" s="691" t="str">
        <f>AH192</f>
        <v>Secteur non connu</v>
      </c>
      <c r="AI213" s="691"/>
      <c r="AJ213" s="691"/>
      <c r="AK213" s="691"/>
      <c r="AL213" s="691"/>
      <c r="AM213" s="691"/>
      <c r="AN213" s="691"/>
      <c r="AO213" s="691"/>
      <c r="AP213" s="691"/>
      <c r="AQ213" s="691"/>
      <c r="AR213" s="691"/>
      <c r="AS213" s="1037"/>
      <c r="AT213" s="1037"/>
      <c r="AU213" s="1037"/>
      <c r="AV213" s="128"/>
      <c r="AW213" s="1037"/>
      <c r="AX213" s="1037"/>
      <c r="AY213" s="1037"/>
      <c r="AZ213" s="128"/>
      <c r="BA213" s="1037"/>
      <c r="BB213" s="1037"/>
      <c r="BC213" s="1037"/>
      <c r="DF213" s="124"/>
    </row>
    <row r="214" spans="6:110" ht="7.5" customHeight="1" x14ac:dyDescent="0.25">
      <c r="F214" s="124"/>
      <c r="I214" s="189"/>
      <c r="J214" s="189"/>
      <c r="K214" s="189"/>
      <c r="L214" s="189"/>
      <c r="M214" s="189"/>
      <c r="N214" s="189"/>
      <c r="O214" s="189"/>
      <c r="P214" s="189"/>
      <c r="Q214" s="63"/>
      <c r="R214" s="63"/>
      <c r="S214" s="63"/>
      <c r="T214" s="63"/>
      <c r="U214" s="63"/>
      <c r="V214" s="63"/>
      <c r="W214" s="63"/>
      <c r="X214" s="63"/>
      <c r="Y214" s="63"/>
      <c r="Z214" s="63"/>
      <c r="AB214" s="63"/>
      <c r="AC214" s="63"/>
      <c r="AD214" s="63"/>
      <c r="AH214" s="129"/>
      <c r="AI214" s="129"/>
      <c r="AJ214" s="129"/>
      <c r="AK214" s="129"/>
      <c r="AL214" s="129"/>
      <c r="AM214" s="129"/>
      <c r="AN214" s="129"/>
      <c r="AO214" s="129"/>
      <c r="AP214" s="63"/>
      <c r="AQ214" s="63"/>
      <c r="AR214" s="63"/>
      <c r="AS214" s="63"/>
      <c r="AT214" s="63"/>
      <c r="AU214" s="63"/>
      <c r="AV214" s="63"/>
      <c r="AW214" s="63"/>
      <c r="AX214" s="63"/>
      <c r="AY214" s="63"/>
      <c r="AZ214" s="63"/>
      <c r="BA214" s="63"/>
      <c r="BB214" s="63"/>
      <c r="BC214" s="63"/>
      <c r="DF214" s="124"/>
    </row>
    <row r="215" spans="6:110" ht="15" customHeight="1" x14ac:dyDescent="0.25">
      <c r="F215" s="124"/>
      <c r="I215" s="1026" t="str">
        <f>I194</f>
        <v>Total</v>
      </c>
      <c r="J215" s="1026"/>
      <c r="K215" s="1026"/>
      <c r="L215" s="1026"/>
      <c r="M215" s="1026"/>
      <c r="N215" s="1026"/>
      <c r="O215" s="1026"/>
      <c r="P215" s="1026"/>
      <c r="Q215" s="1026"/>
      <c r="R215" s="1026"/>
      <c r="S215" s="1026"/>
      <c r="T215" s="765" t="str">
        <f>IF(COUNTIF(T199:T211,N.D.)&gt;0,N.D.,SUM(T199,T205,T208))</f>
        <v>N.D.</v>
      </c>
      <c r="U215" s="765"/>
      <c r="V215" s="765"/>
      <c r="W215" s="172"/>
      <c r="X215" s="765" t="str">
        <f>IF(COUNTIF(X199:X211,N.D.)&gt;0,N.D.,SUM(X199,X205,X208))</f>
        <v>N.D.</v>
      </c>
      <c r="Y215" s="765"/>
      <c r="Z215" s="765"/>
      <c r="AA215" s="172"/>
      <c r="AB215" s="765" t="str">
        <f>IF(COUNTIF(AB199:AB211,N.D.)&gt;0,N.D.,SUM(AB199,AB205,AB208))</f>
        <v>N.D.</v>
      </c>
      <c r="AC215" s="765"/>
      <c r="AD215" s="765"/>
      <c r="AH215" s="1026" t="str">
        <f>I194</f>
        <v>Total</v>
      </c>
      <c r="AI215" s="1026"/>
      <c r="AJ215" s="1026"/>
      <c r="AK215" s="1026"/>
      <c r="AL215" s="1026"/>
      <c r="AM215" s="1026"/>
      <c r="AN215" s="1026"/>
      <c r="AO215" s="1026"/>
      <c r="AP215" s="1026"/>
      <c r="AQ215" s="1026"/>
      <c r="AR215" s="1026"/>
      <c r="AS215" s="765" t="str">
        <f>IF(OR(COUNTBLANK(AS199:AS211)&gt;0,AS213=""),N.D.,IF(AND(AS199="",AS205="",AS208=""),"",SUM(AS199,AS205,AS208,AS213)))</f>
        <v>N.D.</v>
      </c>
      <c r="AT215" s="765"/>
      <c r="AU215" s="765"/>
      <c r="AV215" s="172"/>
      <c r="AW215" s="765" t="str">
        <f>IF(OR(COUNTBLANK(AW199:AW211)&gt;0,AW213=""),N.D.,IF(AND(AW199="",AW205="",AW208=""),"",SUM(AW199,AW205,AW208,AW213)))</f>
        <v>N.D.</v>
      </c>
      <c r="AX215" s="765"/>
      <c r="AY215" s="765"/>
      <c r="AZ215" s="172"/>
      <c r="BA215" s="765" t="str">
        <f>IF(OR(COUNTBLANK(BA199:BA211)&gt;0,BA213=""),N.D.,IF(AND(BA199="",BA205="",BA208=""),"",SUM(BA199,BA205,BA208,BA213)))</f>
        <v>N.D.</v>
      </c>
      <c r="BB215" s="765"/>
      <c r="BC215" s="765"/>
      <c r="DF215" s="124"/>
    </row>
    <row r="216" spans="6:110" ht="15" customHeight="1" x14ac:dyDescent="0.25">
      <c r="F216" s="124"/>
      <c r="I216" s="768" t="str">
        <f>IF((COUNTIF(T215,N.D.)+(COUNTIF(X215,N.D.)))=0,"",N.D.)</f>
        <v>N.D.</v>
      </c>
      <c r="J216" s="768"/>
      <c r="K216" s="758" t="str">
        <f>IF(I216=N.D.,txt_N.D.&amp;'Données générales'!J8&amp;", "&amp;'Données générales'!AH8&amp;" ou "&amp;I5,"")</f>
        <v>Non disponible : vérifiez les données à la question 1.3, 1.5 ou 3.1.</v>
      </c>
      <c r="L216" s="758"/>
      <c r="M216" s="758"/>
      <c r="N216" s="758"/>
      <c r="O216" s="758"/>
      <c r="P216" s="758"/>
      <c r="Q216" s="758"/>
      <c r="R216" s="758"/>
      <c r="S216" s="758"/>
      <c r="T216" s="758"/>
      <c r="U216" s="758"/>
      <c r="V216" s="758"/>
      <c r="W216" s="758"/>
      <c r="X216" s="758"/>
      <c r="Y216" s="758"/>
      <c r="Z216" s="758"/>
      <c r="AA216" s="758"/>
      <c r="AB216" s="758"/>
      <c r="AC216" s="758"/>
      <c r="AD216" s="758"/>
      <c r="DF216" s="124"/>
    </row>
    <row r="217" spans="6:110" ht="15" customHeight="1" x14ac:dyDescent="0.25">
      <c r="F217" s="124"/>
      <c r="I217" s="102"/>
      <c r="J217" s="102"/>
      <c r="K217" s="19"/>
      <c r="L217" s="19"/>
      <c r="M217" s="19"/>
      <c r="N217" s="19"/>
      <c r="O217" s="19"/>
      <c r="P217" s="19"/>
      <c r="Q217" s="19"/>
      <c r="R217" s="19"/>
      <c r="S217" s="19"/>
      <c r="T217" s="19"/>
      <c r="U217" s="19"/>
      <c r="V217" s="19"/>
      <c r="W217" s="19"/>
      <c r="X217" s="19"/>
      <c r="Y217" s="19"/>
      <c r="Z217" s="19"/>
      <c r="AA217" s="19"/>
      <c r="AB217" s="19"/>
      <c r="AC217" s="19"/>
      <c r="AD217" s="19"/>
      <c r="DF217" s="124"/>
    </row>
    <row r="218" spans="6:110" ht="15" customHeight="1" x14ac:dyDescent="0.25">
      <c r="F218" s="124"/>
      <c r="I218" s="102"/>
      <c r="J218" s="102"/>
      <c r="K218" s="19"/>
      <c r="L218" s="19"/>
      <c r="M218" s="19"/>
      <c r="N218" s="19"/>
      <c r="O218" s="19"/>
      <c r="P218" s="19"/>
      <c r="Q218" s="19"/>
      <c r="R218" s="19"/>
      <c r="S218" s="19"/>
      <c r="T218" s="1077" t="s">
        <v>480</v>
      </c>
      <c r="U218" s="1077"/>
      <c r="V218" s="1077"/>
      <c r="W218" s="1077"/>
      <c r="X218" s="1077"/>
      <c r="Y218" s="1077"/>
      <c r="Z218" s="1077"/>
      <c r="AA218" s="1077"/>
      <c r="AB218" s="1077"/>
      <c r="AC218" s="1077"/>
      <c r="AD218" s="1077"/>
      <c r="AS218" s="1077" t="s">
        <v>480</v>
      </c>
      <c r="AT218" s="1077"/>
      <c r="AU218" s="1077"/>
      <c r="AV218" s="1077"/>
      <c r="AW218" s="1077"/>
      <c r="AX218" s="1077"/>
      <c r="AY218" s="1077"/>
      <c r="AZ218" s="1077"/>
      <c r="BA218" s="1077"/>
      <c r="BB218" s="1077"/>
      <c r="BC218" s="1077"/>
      <c r="DF218" s="124"/>
    </row>
    <row r="219" spans="6:110" ht="30" customHeight="1" x14ac:dyDescent="0.25">
      <c r="F219" s="124"/>
      <c r="I219" s="102"/>
      <c r="J219" s="102"/>
      <c r="K219" s="19"/>
      <c r="L219" s="19"/>
      <c r="M219" s="19"/>
      <c r="N219" s="19"/>
      <c r="O219" s="19"/>
      <c r="P219" s="19"/>
      <c r="Q219" s="19"/>
      <c r="R219" s="19"/>
      <c r="S219" s="19"/>
      <c r="T219" s="1023" t="str">
        <f>T198</f>
        <v>Résidus verts (t)</v>
      </c>
      <c r="U219" s="1023"/>
      <c r="V219" s="1023"/>
      <c r="X219" s="1023" t="str">
        <f>X198</f>
        <v>Résidus alim. (t)</v>
      </c>
      <c r="Y219" s="1023"/>
      <c r="Z219" s="1023"/>
      <c r="AB219" s="1023" t="str">
        <f>AB177</f>
        <v>Autres R.O. (t)</v>
      </c>
      <c r="AC219" s="1023"/>
      <c r="AD219" s="1023"/>
      <c r="AS219" s="1023" t="str">
        <f>AS198</f>
        <v>Résidus verts (t)</v>
      </c>
      <c r="AT219" s="1023"/>
      <c r="AU219" s="1023"/>
      <c r="AW219" s="1023" t="str">
        <f>AW198</f>
        <v>Résidus alim. (t)</v>
      </c>
      <c r="AX219" s="1023"/>
      <c r="AY219" s="1023"/>
      <c r="BA219" s="1023" t="str">
        <f>AB177</f>
        <v>Autres R.O. (t)</v>
      </c>
      <c r="BB219" s="1023"/>
      <c r="BC219" s="1023"/>
      <c r="DF219" s="124"/>
    </row>
    <row r="220" spans="6:110" ht="15" customHeight="1" x14ac:dyDescent="0.25">
      <c r="F220" s="124"/>
      <c r="I220" s="701" t="str">
        <f t="shared" ref="I220:I232" si="27">I178</f>
        <v>Industriel</v>
      </c>
      <c r="J220" s="701"/>
      <c r="K220" s="701"/>
      <c r="L220" s="701"/>
      <c r="M220" s="701"/>
      <c r="N220" s="701"/>
      <c r="O220" s="701"/>
      <c r="P220" s="701"/>
      <c r="Q220" s="701"/>
      <c r="R220" s="701"/>
      <c r="S220" s="701"/>
      <c r="T220" s="1009" t="str">
        <f t="shared" ref="T220:T232" si="28">IF(OR(T178=N.D.,T199=N.D.),N.D.,SUM(T178,T199))</f>
        <v>N.D.</v>
      </c>
      <c r="U220" s="1009"/>
      <c r="V220" s="1009"/>
      <c r="W220" s="170"/>
      <c r="X220" s="1009" t="str">
        <f t="shared" ref="X220:X232" si="29">IF(OR(X178=N.D.,X199=N.D.),N.D.,SUM(X178,X199))</f>
        <v>N.D.</v>
      </c>
      <c r="Y220" s="1009"/>
      <c r="Z220" s="1009"/>
      <c r="AA220" s="170"/>
      <c r="AB220" s="1009" t="str">
        <f t="shared" ref="AB220:AB232" si="30">IF(OR(AB178=N.D.,AB199=N.D.),N.D.,SUM(AB178,AB199))</f>
        <v>N.D.</v>
      </c>
      <c r="AC220" s="1009"/>
      <c r="AD220" s="1009"/>
      <c r="AH220" s="701" t="str">
        <f t="shared" ref="AH220:AH232" si="31">I178</f>
        <v>Industriel</v>
      </c>
      <c r="AI220" s="701"/>
      <c r="AJ220" s="701"/>
      <c r="AK220" s="701"/>
      <c r="AL220" s="701"/>
      <c r="AM220" s="701"/>
      <c r="AN220" s="701"/>
      <c r="AO220" s="701"/>
      <c r="AP220" s="701"/>
      <c r="AQ220" s="701"/>
      <c r="AR220" s="701"/>
      <c r="AS220" s="1009" t="str">
        <f t="shared" ref="AS220:AS232" si="32">IF(AND(AS178="",AS199=""),"",SUM(AS178,AS199))</f>
        <v/>
      </c>
      <c r="AT220" s="1009"/>
      <c r="AU220" s="1009"/>
      <c r="AV220" s="170"/>
      <c r="AW220" s="1009" t="str">
        <f t="shared" ref="AW220:AW232" si="33">IF(AND(AW178="",AW199=""),"",SUM(AW178,AW199))</f>
        <v/>
      </c>
      <c r="AX220" s="1009"/>
      <c r="AY220" s="1009"/>
      <c r="AZ220" s="170"/>
      <c r="BA220" s="1009" t="str">
        <f t="shared" ref="BA220:BA232" si="34">IF(AND(BA178="",BA199=""),"",SUM(BA178,BA199))</f>
        <v/>
      </c>
      <c r="BB220" s="1009"/>
      <c r="BC220" s="1009"/>
      <c r="DF220" s="124"/>
    </row>
    <row r="221" spans="6:110" ht="15" customHeight="1" x14ac:dyDescent="0.25">
      <c r="F221" s="124"/>
      <c r="I221" s="16" t="str">
        <f t="shared" si="27"/>
        <v>Ä</v>
      </c>
      <c r="J221" s="982" t="str">
        <f>J179</f>
        <v>Agriculture</v>
      </c>
      <c r="K221" s="982"/>
      <c r="L221" s="982"/>
      <c r="M221" s="982"/>
      <c r="N221" s="982"/>
      <c r="O221" s="982"/>
      <c r="P221" s="982"/>
      <c r="Q221" s="982"/>
      <c r="R221" s="982"/>
      <c r="S221" s="982"/>
      <c r="T221" s="1012" t="str">
        <f t="shared" si="28"/>
        <v>N.D.</v>
      </c>
      <c r="U221" s="1012"/>
      <c r="V221" s="1012"/>
      <c r="W221" s="127"/>
      <c r="X221" s="1012" t="str">
        <f t="shared" si="29"/>
        <v>N.D.</v>
      </c>
      <c r="Y221" s="1012"/>
      <c r="Z221" s="1012"/>
      <c r="AA221" s="127"/>
      <c r="AB221" s="1012" t="str">
        <f t="shared" si="30"/>
        <v>N.D.</v>
      </c>
      <c r="AC221" s="1012"/>
      <c r="AD221" s="1012"/>
      <c r="AH221" s="16" t="str">
        <f t="shared" si="31"/>
        <v>Ä</v>
      </c>
      <c r="AI221" s="982" t="str">
        <f>J179</f>
        <v>Agriculture</v>
      </c>
      <c r="AJ221" s="982"/>
      <c r="AK221" s="982"/>
      <c r="AL221" s="982"/>
      <c r="AM221" s="982"/>
      <c r="AN221" s="982"/>
      <c r="AO221" s="982"/>
      <c r="AP221" s="982"/>
      <c r="AQ221" s="982"/>
      <c r="AR221" s="982"/>
      <c r="AS221" s="1012" t="str">
        <f t="shared" si="32"/>
        <v/>
      </c>
      <c r="AT221" s="1012"/>
      <c r="AU221" s="1012"/>
      <c r="AV221" s="128"/>
      <c r="AW221" s="1012" t="str">
        <f t="shared" si="33"/>
        <v/>
      </c>
      <c r="AX221" s="1012"/>
      <c r="AY221" s="1012"/>
      <c r="AZ221" s="128"/>
      <c r="BA221" s="1012" t="str">
        <f t="shared" si="34"/>
        <v/>
      </c>
      <c r="BB221" s="1012"/>
      <c r="BC221" s="1012"/>
      <c r="DF221" s="124"/>
    </row>
    <row r="222" spans="6:110" ht="30" customHeight="1" x14ac:dyDescent="0.25">
      <c r="F222" s="124"/>
      <c r="I222" s="16" t="str">
        <f t="shared" si="27"/>
        <v>Ä</v>
      </c>
      <c r="J222" s="982" t="str">
        <f>J180</f>
        <v>Foresterie, pêche, mines et extraction de pétrole et de gaz</v>
      </c>
      <c r="K222" s="982"/>
      <c r="L222" s="982"/>
      <c r="M222" s="982"/>
      <c r="N222" s="982"/>
      <c r="O222" s="982"/>
      <c r="P222" s="982"/>
      <c r="Q222" s="982"/>
      <c r="R222" s="982"/>
      <c r="S222" s="982"/>
      <c r="T222" s="1012" t="str">
        <f t="shared" si="28"/>
        <v>N.D.</v>
      </c>
      <c r="U222" s="1012"/>
      <c r="V222" s="1012"/>
      <c r="W222" s="127"/>
      <c r="X222" s="1012" t="str">
        <f t="shared" si="29"/>
        <v>N.D.</v>
      </c>
      <c r="Y222" s="1012"/>
      <c r="Z222" s="1012"/>
      <c r="AA222" s="127"/>
      <c r="AB222" s="1012" t="str">
        <f t="shared" si="30"/>
        <v>N.D.</v>
      </c>
      <c r="AC222" s="1012"/>
      <c r="AD222" s="1012"/>
      <c r="AH222" s="16" t="str">
        <f t="shared" si="31"/>
        <v>Ä</v>
      </c>
      <c r="AI222" s="982" t="str">
        <f>J180</f>
        <v>Foresterie, pêche, mines et extraction de pétrole et de gaz</v>
      </c>
      <c r="AJ222" s="982"/>
      <c r="AK222" s="982"/>
      <c r="AL222" s="982"/>
      <c r="AM222" s="982"/>
      <c r="AN222" s="982"/>
      <c r="AO222" s="982"/>
      <c r="AP222" s="982"/>
      <c r="AQ222" s="982"/>
      <c r="AR222" s="982"/>
      <c r="AS222" s="1012" t="str">
        <f t="shared" si="32"/>
        <v/>
      </c>
      <c r="AT222" s="1012"/>
      <c r="AU222" s="1012"/>
      <c r="AV222" s="128"/>
      <c r="AW222" s="1012" t="str">
        <f t="shared" si="33"/>
        <v/>
      </c>
      <c r="AX222" s="1012"/>
      <c r="AY222" s="1012"/>
      <c r="AZ222" s="128"/>
      <c r="BA222" s="1012" t="str">
        <f t="shared" si="34"/>
        <v/>
      </c>
      <c r="BB222" s="1012"/>
      <c r="BC222" s="1012"/>
      <c r="DF222" s="124"/>
    </row>
    <row r="223" spans="6:110" ht="15" customHeight="1" x14ac:dyDescent="0.25">
      <c r="F223" s="124"/>
      <c r="I223" s="16" t="str">
        <f t="shared" si="27"/>
        <v>Ä</v>
      </c>
      <c r="J223" s="982" t="str">
        <f>J181</f>
        <v>Manufacturier</v>
      </c>
      <c r="K223" s="982"/>
      <c r="L223" s="982"/>
      <c r="M223" s="982"/>
      <c r="N223" s="982"/>
      <c r="O223" s="982"/>
      <c r="P223" s="982"/>
      <c r="Q223" s="982"/>
      <c r="R223" s="982"/>
      <c r="S223" s="982"/>
      <c r="T223" s="1012" t="str">
        <f t="shared" si="28"/>
        <v>N.D.</v>
      </c>
      <c r="U223" s="1012"/>
      <c r="V223" s="1012"/>
      <c r="W223" s="127"/>
      <c r="X223" s="1012" t="str">
        <f t="shared" si="29"/>
        <v>N.D.</v>
      </c>
      <c r="Y223" s="1012"/>
      <c r="Z223" s="1012"/>
      <c r="AA223" s="127"/>
      <c r="AB223" s="1012" t="str">
        <f t="shared" si="30"/>
        <v>N.D.</v>
      </c>
      <c r="AC223" s="1012"/>
      <c r="AD223" s="1012"/>
      <c r="AH223" s="16" t="str">
        <f t="shared" si="31"/>
        <v>Ä</v>
      </c>
      <c r="AI223" s="982" t="str">
        <f>J181</f>
        <v>Manufacturier</v>
      </c>
      <c r="AJ223" s="982"/>
      <c r="AK223" s="982"/>
      <c r="AL223" s="982"/>
      <c r="AM223" s="982"/>
      <c r="AN223" s="982"/>
      <c r="AO223" s="982"/>
      <c r="AP223" s="982"/>
      <c r="AQ223" s="982"/>
      <c r="AR223" s="982"/>
      <c r="AS223" s="1012" t="str">
        <f t="shared" si="32"/>
        <v/>
      </c>
      <c r="AT223" s="1012"/>
      <c r="AU223" s="1012"/>
      <c r="AV223" s="128"/>
      <c r="AW223" s="1012" t="str">
        <f t="shared" si="33"/>
        <v/>
      </c>
      <c r="AX223" s="1012"/>
      <c r="AY223" s="1012"/>
      <c r="AZ223" s="128"/>
      <c r="BA223" s="1012" t="str">
        <f t="shared" si="34"/>
        <v/>
      </c>
      <c r="BB223" s="1012"/>
      <c r="BC223" s="1012"/>
      <c r="DF223" s="124"/>
    </row>
    <row r="224" spans="6:110" ht="15" customHeight="1" x14ac:dyDescent="0.25">
      <c r="F224" s="124"/>
      <c r="I224" s="16" t="str">
        <f t="shared" si="27"/>
        <v>Ä</v>
      </c>
      <c r="J224" s="982" t="str">
        <f>J182</f>
        <v>Utilités publiques</v>
      </c>
      <c r="K224" s="982"/>
      <c r="L224" s="982"/>
      <c r="M224" s="982"/>
      <c r="N224" s="982"/>
      <c r="O224" s="982"/>
      <c r="P224" s="982"/>
      <c r="Q224" s="982"/>
      <c r="R224" s="982"/>
      <c r="S224" s="982"/>
      <c r="T224" s="1012" t="str">
        <f t="shared" si="28"/>
        <v>N.D.</v>
      </c>
      <c r="U224" s="1012"/>
      <c r="V224" s="1012"/>
      <c r="W224" s="127"/>
      <c r="X224" s="1012" t="str">
        <f t="shared" si="29"/>
        <v>N.D.</v>
      </c>
      <c r="Y224" s="1012"/>
      <c r="Z224" s="1012"/>
      <c r="AA224" s="127"/>
      <c r="AB224" s="1012" t="str">
        <f t="shared" si="30"/>
        <v>N.D.</v>
      </c>
      <c r="AC224" s="1012"/>
      <c r="AD224" s="1012"/>
      <c r="AH224" s="16" t="str">
        <f t="shared" si="31"/>
        <v>Ä</v>
      </c>
      <c r="AI224" s="982" t="str">
        <f>J182</f>
        <v>Utilités publiques</v>
      </c>
      <c r="AJ224" s="982"/>
      <c r="AK224" s="982"/>
      <c r="AL224" s="982"/>
      <c r="AM224" s="982"/>
      <c r="AN224" s="982"/>
      <c r="AO224" s="982"/>
      <c r="AP224" s="982"/>
      <c r="AQ224" s="982"/>
      <c r="AR224" s="982"/>
      <c r="AS224" s="1012" t="str">
        <f t="shared" si="32"/>
        <v/>
      </c>
      <c r="AT224" s="1012"/>
      <c r="AU224" s="1012"/>
      <c r="AV224" s="128"/>
      <c r="AW224" s="1012" t="str">
        <f t="shared" si="33"/>
        <v/>
      </c>
      <c r="AX224" s="1012"/>
      <c r="AY224" s="1012"/>
      <c r="AZ224" s="128"/>
      <c r="BA224" s="1012" t="str">
        <f t="shared" si="34"/>
        <v/>
      </c>
      <c r="BB224" s="1012"/>
      <c r="BC224" s="1012"/>
      <c r="DF224" s="124"/>
    </row>
    <row r="225" spans="6:128" ht="15" customHeight="1" x14ac:dyDescent="0.25">
      <c r="F225" s="124"/>
      <c r="I225" s="16" t="str">
        <f t="shared" si="27"/>
        <v>Ä</v>
      </c>
      <c r="J225" s="982" t="str">
        <f>J183</f>
        <v>Transport et entreposage</v>
      </c>
      <c r="K225" s="982"/>
      <c r="L225" s="982"/>
      <c r="M225" s="982"/>
      <c r="N225" s="982"/>
      <c r="O225" s="982"/>
      <c r="P225" s="982"/>
      <c r="Q225" s="982"/>
      <c r="R225" s="982"/>
      <c r="S225" s="982"/>
      <c r="T225" s="1012" t="str">
        <f t="shared" si="28"/>
        <v>N.D.</v>
      </c>
      <c r="U225" s="1012"/>
      <c r="V225" s="1012"/>
      <c r="W225" s="127"/>
      <c r="X225" s="1012" t="str">
        <f t="shared" si="29"/>
        <v>N.D.</v>
      </c>
      <c r="Y225" s="1012"/>
      <c r="Z225" s="1012"/>
      <c r="AA225" s="127"/>
      <c r="AB225" s="1012" t="str">
        <f t="shared" si="30"/>
        <v>N.D.</v>
      </c>
      <c r="AC225" s="1012"/>
      <c r="AD225" s="1012"/>
      <c r="AH225" s="16" t="str">
        <f t="shared" si="31"/>
        <v>Ä</v>
      </c>
      <c r="AI225" s="982" t="str">
        <f>J183</f>
        <v>Transport et entreposage</v>
      </c>
      <c r="AJ225" s="982"/>
      <c r="AK225" s="982"/>
      <c r="AL225" s="982"/>
      <c r="AM225" s="982"/>
      <c r="AN225" s="982"/>
      <c r="AO225" s="982"/>
      <c r="AP225" s="982"/>
      <c r="AQ225" s="982"/>
      <c r="AR225" s="982"/>
      <c r="AS225" s="1012" t="str">
        <f t="shared" si="32"/>
        <v/>
      </c>
      <c r="AT225" s="1012"/>
      <c r="AU225" s="1012"/>
      <c r="AV225" s="128"/>
      <c r="AW225" s="1012" t="str">
        <f t="shared" si="33"/>
        <v/>
      </c>
      <c r="AX225" s="1012"/>
      <c r="AY225" s="1012"/>
      <c r="AZ225" s="128"/>
      <c r="BA225" s="1012" t="str">
        <f t="shared" si="34"/>
        <v/>
      </c>
      <c r="BB225" s="1012"/>
      <c r="BC225" s="1012"/>
      <c r="DF225" s="124"/>
    </row>
    <row r="226" spans="6:128" ht="15" customHeight="1" x14ac:dyDescent="0.25">
      <c r="F226" s="124"/>
      <c r="I226" s="701" t="str">
        <f t="shared" si="27"/>
        <v>Commercial</v>
      </c>
      <c r="J226" s="701"/>
      <c r="K226" s="701"/>
      <c r="L226" s="701"/>
      <c r="M226" s="701"/>
      <c r="N226" s="701"/>
      <c r="O226" s="701"/>
      <c r="P226" s="701"/>
      <c r="Q226" s="701"/>
      <c r="R226" s="701"/>
      <c r="S226" s="701"/>
      <c r="T226" s="1009" t="str">
        <f t="shared" si="28"/>
        <v>N.D.</v>
      </c>
      <c r="U226" s="1009"/>
      <c r="V226" s="1009"/>
      <c r="W226" s="170"/>
      <c r="X226" s="1009" t="str">
        <f t="shared" si="29"/>
        <v>N.D.</v>
      </c>
      <c r="Y226" s="1009"/>
      <c r="Z226" s="1009"/>
      <c r="AA226" s="170"/>
      <c r="AB226" s="1009" t="str">
        <f t="shared" si="30"/>
        <v>N.D.</v>
      </c>
      <c r="AC226" s="1009"/>
      <c r="AD226" s="1009"/>
      <c r="AH226" s="701" t="str">
        <f t="shared" si="31"/>
        <v>Commercial</v>
      </c>
      <c r="AI226" s="701"/>
      <c r="AJ226" s="701"/>
      <c r="AK226" s="701"/>
      <c r="AL226" s="701"/>
      <c r="AM226" s="701"/>
      <c r="AN226" s="701"/>
      <c r="AO226" s="701"/>
      <c r="AP226" s="701"/>
      <c r="AQ226" s="701"/>
      <c r="AR226" s="701"/>
      <c r="AS226" s="1009" t="str">
        <f t="shared" si="32"/>
        <v/>
      </c>
      <c r="AT226" s="1009"/>
      <c r="AU226" s="1009"/>
      <c r="AV226" s="171"/>
      <c r="AW226" s="1009" t="str">
        <f t="shared" si="33"/>
        <v/>
      </c>
      <c r="AX226" s="1009"/>
      <c r="AY226" s="1009"/>
      <c r="AZ226" s="171"/>
      <c r="BA226" s="1009" t="str">
        <f t="shared" si="34"/>
        <v/>
      </c>
      <c r="BB226" s="1009"/>
      <c r="BC226" s="1009"/>
      <c r="DF226" s="124"/>
    </row>
    <row r="227" spans="6:128" ht="30" customHeight="1" x14ac:dyDescent="0.25">
      <c r="F227" s="124"/>
      <c r="I227" s="16" t="str">
        <f t="shared" si="27"/>
        <v>Ä</v>
      </c>
      <c r="J227" s="982" t="str">
        <f>J185</f>
        <v>Hébergement et services de restauration</v>
      </c>
      <c r="K227" s="982"/>
      <c r="L227" s="982"/>
      <c r="M227" s="982"/>
      <c r="N227" s="982"/>
      <c r="O227" s="982"/>
      <c r="P227" s="982"/>
      <c r="Q227" s="982"/>
      <c r="R227" s="982"/>
      <c r="S227" s="982"/>
      <c r="T227" s="1012" t="str">
        <f t="shared" si="28"/>
        <v>N.D.</v>
      </c>
      <c r="U227" s="1012"/>
      <c r="V227" s="1012"/>
      <c r="W227" s="127"/>
      <c r="X227" s="1012" t="str">
        <f t="shared" si="29"/>
        <v>N.D.</v>
      </c>
      <c r="Y227" s="1012"/>
      <c r="Z227" s="1012"/>
      <c r="AA227" s="127"/>
      <c r="AB227" s="1012" t="str">
        <f t="shared" si="30"/>
        <v>N.D.</v>
      </c>
      <c r="AC227" s="1012"/>
      <c r="AD227" s="1012"/>
      <c r="AH227" s="16" t="str">
        <f t="shared" si="31"/>
        <v>Ä</v>
      </c>
      <c r="AI227" s="982" t="str">
        <f>J185</f>
        <v>Hébergement et services de restauration</v>
      </c>
      <c r="AJ227" s="982"/>
      <c r="AK227" s="982"/>
      <c r="AL227" s="982"/>
      <c r="AM227" s="982"/>
      <c r="AN227" s="982"/>
      <c r="AO227" s="982"/>
      <c r="AP227" s="982"/>
      <c r="AQ227" s="982"/>
      <c r="AR227" s="982"/>
      <c r="AS227" s="1012" t="str">
        <f t="shared" si="32"/>
        <v/>
      </c>
      <c r="AT227" s="1012"/>
      <c r="AU227" s="1012"/>
      <c r="AV227" s="128"/>
      <c r="AW227" s="1012" t="str">
        <f t="shared" si="33"/>
        <v/>
      </c>
      <c r="AX227" s="1012"/>
      <c r="AY227" s="1012"/>
      <c r="AZ227" s="128"/>
      <c r="BA227" s="1012" t="str">
        <f t="shared" si="34"/>
        <v/>
      </c>
      <c r="BB227" s="1012"/>
      <c r="BC227" s="1012"/>
      <c r="DF227" s="124"/>
    </row>
    <row r="228" spans="6:128" ht="15" customHeight="1" x14ac:dyDescent="0.25">
      <c r="F228" s="124"/>
      <c r="I228" s="16" t="str">
        <f t="shared" si="27"/>
        <v>Ä</v>
      </c>
      <c r="J228" s="982" t="str">
        <f>J186</f>
        <v>Commerce de gros et de détail</v>
      </c>
      <c r="K228" s="982"/>
      <c r="L228" s="982"/>
      <c r="M228" s="982"/>
      <c r="N228" s="982"/>
      <c r="O228" s="982"/>
      <c r="P228" s="982"/>
      <c r="Q228" s="982"/>
      <c r="R228" s="982"/>
      <c r="S228" s="982"/>
      <c r="T228" s="1012" t="str">
        <f t="shared" si="28"/>
        <v>N.D.</v>
      </c>
      <c r="U228" s="1012"/>
      <c r="V228" s="1012"/>
      <c r="W228" s="127"/>
      <c r="X228" s="1012" t="str">
        <f t="shared" si="29"/>
        <v>N.D.</v>
      </c>
      <c r="Y228" s="1012"/>
      <c r="Z228" s="1012"/>
      <c r="AA228" s="127"/>
      <c r="AB228" s="1012" t="str">
        <f t="shared" si="30"/>
        <v>N.D.</v>
      </c>
      <c r="AC228" s="1012"/>
      <c r="AD228" s="1012"/>
      <c r="AH228" s="16" t="str">
        <f t="shared" si="31"/>
        <v>Ä</v>
      </c>
      <c r="AI228" s="982" t="str">
        <f>J186</f>
        <v>Commerce de gros et de détail</v>
      </c>
      <c r="AJ228" s="982"/>
      <c r="AK228" s="982"/>
      <c r="AL228" s="982"/>
      <c r="AM228" s="982"/>
      <c r="AN228" s="982"/>
      <c r="AO228" s="982"/>
      <c r="AP228" s="982"/>
      <c r="AQ228" s="982"/>
      <c r="AR228" s="982"/>
      <c r="AS228" s="1012" t="str">
        <f t="shared" si="32"/>
        <v/>
      </c>
      <c r="AT228" s="1012"/>
      <c r="AU228" s="1012"/>
      <c r="AV228" s="128"/>
      <c r="AW228" s="1012" t="str">
        <f t="shared" si="33"/>
        <v/>
      </c>
      <c r="AX228" s="1012"/>
      <c r="AY228" s="1012"/>
      <c r="AZ228" s="128"/>
      <c r="BA228" s="1012" t="str">
        <f t="shared" si="34"/>
        <v/>
      </c>
      <c r="BB228" s="1012"/>
      <c r="BC228" s="1012"/>
      <c r="DF228" s="124"/>
    </row>
    <row r="229" spans="6:128" ht="15" customHeight="1" x14ac:dyDescent="0.25">
      <c r="F229" s="124"/>
      <c r="I229" s="701" t="str">
        <f t="shared" si="27"/>
        <v>Institutionnel</v>
      </c>
      <c r="J229" s="701"/>
      <c r="K229" s="701"/>
      <c r="L229" s="701"/>
      <c r="M229" s="701"/>
      <c r="N229" s="701"/>
      <c r="O229" s="701"/>
      <c r="P229" s="701"/>
      <c r="Q229" s="701"/>
      <c r="R229" s="701"/>
      <c r="S229" s="701"/>
      <c r="T229" s="1009" t="str">
        <f t="shared" si="28"/>
        <v>N.D.</v>
      </c>
      <c r="U229" s="1009"/>
      <c r="V229" s="1009"/>
      <c r="W229" s="170"/>
      <c r="X229" s="1009" t="str">
        <f t="shared" si="29"/>
        <v>N.D.</v>
      </c>
      <c r="Y229" s="1009"/>
      <c r="Z229" s="1009"/>
      <c r="AA229" s="170"/>
      <c r="AB229" s="1009" t="str">
        <f t="shared" si="30"/>
        <v>N.D.</v>
      </c>
      <c r="AC229" s="1009"/>
      <c r="AD229" s="1009"/>
      <c r="AH229" s="701" t="str">
        <f t="shared" si="31"/>
        <v>Institutionnel</v>
      </c>
      <c r="AI229" s="701"/>
      <c r="AJ229" s="701"/>
      <c r="AK229" s="701"/>
      <c r="AL229" s="701"/>
      <c r="AM229" s="701"/>
      <c r="AN229" s="701"/>
      <c r="AO229" s="701"/>
      <c r="AP229" s="701"/>
      <c r="AQ229" s="701"/>
      <c r="AR229" s="701"/>
      <c r="AS229" s="1009" t="str">
        <f t="shared" si="32"/>
        <v/>
      </c>
      <c r="AT229" s="1009"/>
      <c r="AU229" s="1009"/>
      <c r="AV229" s="171"/>
      <c r="AW229" s="1009" t="str">
        <f t="shared" si="33"/>
        <v/>
      </c>
      <c r="AX229" s="1009"/>
      <c r="AY229" s="1009"/>
      <c r="AZ229" s="171"/>
      <c r="BA229" s="1009" t="str">
        <f t="shared" si="34"/>
        <v/>
      </c>
      <c r="BB229" s="1009"/>
      <c r="BC229" s="1009"/>
      <c r="DF229" s="124"/>
    </row>
    <row r="230" spans="6:128" ht="15" customHeight="1" x14ac:dyDescent="0.25">
      <c r="F230" s="124"/>
      <c r="I230" s="16" t="str">
        <f t="shared" si="27"/>
        <v>Ä</v>
      </c>
      <c r="J230" s="982" t="str">
        <f>J188</f>
        <v>Services et bureaux</v>
      </c>
      <c r="K230" s="982"/>
      <c r="L230" s="982"/>
      <c r="M230" s="982"/>
      <c r="N230" s="982"/>
      <c r="O230" s="982"/>
      <c r="P230" s="982"/>
      <c r="Q230" s="982"/>
      <c r="R230" s="982"/>
      <c r="S230" s="982"/>
      <c r="T230" s="1012" t="str">
        <f t="shared" si="28"/>
        <v>N.D.</v>
      </c>
      <c r="U230" s="1012"/>
      <c r="V230" s="1012"/>
      <c r="W230" s="127"/>
      <c r="X230" s="1012" t="str">
        <f t="shared" si="29"/>
        <v>N.D.</v>
      </c>
      <c r="Y230" s="1012"/>
      <c r="Z230" s="1012"/>
      <c r="AA230" s="127"/>
      <c r="AB230" s="1012" t="str">
        <f t="shared" si="30"/>
        <v>N.D.</v>
      </c>
      <c r="AC230" s="1012"/>
      <c r="AD230" s="1012"/>
      <c r="AH230" s="16" t="str">
        <f t="shared" si="31"/>
        <v>Ä</v>
      </c>
      <c r="AI230" s="982" t="str">
        <f>J188</f>
        <v>Services et bureaux</v>
      </c>
      <c r="AJ230" s="982"/>
      <c r="AK230" s="982"/>
      <c r="AL230" s="982"/>
      <c r="AM230" s="982"/>
      <c r="AN230" s="982"/>
      <c r="AO230" s="982"/>
      <c r="AP230" s="982"/>
      <c r="AQ230" s="982"/>
      <c r="AR230" s="982"/>
      <c r="AS230" s="1012" t="str">
        <f t="shared" si="32"/>
        <v/>
      </c>
      <c r="AT230" s="1012"/>
      <c r="AU230" s="1012"/>
      <c r="AV230" s="128"/>
      <c r="AW230" s="1012" t="str">
        <f t="shared" si="33"/>
        <v/>
      </c>
      <c r="AX230" s="1012"/>
      <c r="AY230" s="1012"/>
      <c r="AZ230" s="128"/>
      <c r="BA230" s="1012" t="str">
        <f t="shared" si="34"/>
        <v/>
      </c>
      <c r="BB230" s="1012"/>
      <c r="BC230" s="1012"/>
      <c r="DF230" s="124"/>
    </row>
    <row r="231" spans="6:128" ht="15" customHeight="1" x14ac:dyDescent="0.25">
      <c r="F231" s="124"/>
      <c r="I231" s="16" t="str">
        <f t="shared" si="27"/>
        <v>Ä</v>
      </c>
      <c r="J231" s="982" t="str">
        <f>J189</f>
        <v>Services d'enseignement</v>
      </c>
      <c r="K231" s="982"/>
      <c r="L231" s="982"/>
      <c r="M231" s="982"/>
      <c r="N231" s="982"/>
      <c r="O231" s="982"/>
      <c r="P231" s="982"/>
      <c r="Q231" s="982"/>
      <c r="R231" s="982"/>
      <c r="S231" s="982"/>
      <c r="T231" s="1012" t="str">
        <f t="shared" si="28"/>
        <v>N.D.</v>
      </c>
      <c r="U231" s="1012"/>
      <c r="V231" s="1012"/>
      <c r="W231" s="127"/>
      <c r="X231" s="1012" t="str">
        <f t="shared" si="29"/>
        <v>N.D.</v>
      </c>
      <c r="Y231" s="1012"/>
      <c r="Z231" s="1012"/>
      <c r="AA231" s="127"/>
      <c r="AB231" s="1012" t="str">
        <f t="shared" si="30"/>
        <v>N.D.</v>
      </c>
      <c r="AC231" s="1012"/>
      <c r="AD231" s="1012"/>
      <c r="AH231" s="16" t="str">
        <f t="shared" si="31"/>
        <v>Ä</v>
      </c>
      <c r="AI231" s="982" t="str">
        <f>J189</f>
        <v>Services d'enseignement</v>
      </c>
      <c r="AJ231" s="982"/>
      <c r="AK231" s="982"/>
      <c r="AL231" s="982"/>
      <c r="AM231" s="982"/>
      <c r="AN231" s="982"/>
      <c r="AO231" s="982"/>
      <c r="AP231" s="982"/>
      <c r="AQ231" s="982"/>
      <c r="AR231" s="982"/>
      <c r="AS231" s="1012" t="str">
        <f t="shared" si="32"/>
        <v/>
      </c>
      <c r="AT231" s="1012"/>
      <c r="AU231" s="1012"/>
      <c r="AV231" s="128"/>
      <c r="AW231" s="1012" t="str">
        <f t="shared" si="33"/>
        <v/>
      </c>
      <c r="AX231" s="1012"/>
      <c r="AY231" s="1012"/>
      <c r="AZ231" s="128"/>
      <c r="BA231" s="1012" t="str">
        <f t="shared" si="34"/>
        <v/>
      </c>
      <c r="BB231" s="1012"/>
      <c r="BC231" s="1012"/>
      <c r="DF231" s="124"/>
    </row>
    <row r="232" spans="6:128" ht="15" customHeight="1" x14ac:dyDescent="0.25">
      <c r="F232" s="124"/>
      <c r="I232" s="16" t="str">
        <f t="shared" si="27"/>
        <v>Ä</v>
      </c>
      <c r="J232" s="982" t="str">
        <f>J190</f>
        <v>Soins de santé</v>
      </c>
      <c r="K232" s="982"/>
      <c r="L232" s="982"/>
      <c r="M232" s="982"/>
      <c r="N232" s="982"/>
      <c r="O232" s="982"/>
      <c r="P232" s="982"/>
      <c r="Q232" s="982"/>
      <c r="R232" s="982"/>
      <c r="S232" s="982"/>
      <c r="T232" s="1012" t="str">
        <f t="shared" si="28"/>
        <v>N.D.</v>
      </c>
      <c r="U232" s="1012"/>
      <c r="V232" s="1012"/>
      <c r="W232" s="127"/>
      <c r="X232" s="1012" t="str">
        <f t="shared" si="29"/>
        <v>N.D.</v>
      </c>
      <c r="Y232" s="1012"/>
      <c r="Z232" s="1012"/>
      <c r="AA232" s="127"/>
      <c r="AB232" s="1012" t="str">
        <f t="shared" si="30"/>
        <v>N.D.</v>
      </c>
      <c r="AC232" s="1012"/>
      <c r="AD232" s="1012"/>
      <c r="AH232" s="16" t="str">
        <f t="shared" si="31"/>
        <v>Ä</v>
      </c>
      <c r="AI232" s="982" t="str">
        <f>J190</f>
        <v>Soins de santé</v>
      </c>
      <c r="AJ232" s="982"/>
      <c r="AK232" s="982"/>
      <c r="AL232" s="982"/>
      <c r="AM232" s="982"/>
      <c r="AN232" s="982"/>
      <c r="AO232" s="982"/>
      <c r="AP232" s="982"/>
      <c r="AQ232" s="982"/>
      <c r="AR232" s="982"/>
      <c r="AS232" s="1012" t="str">
        <f t="shared" si="32"/>
        <v/>
      </c>
      <c r="AT232" s="1012"/>
      <c r="AU232" s="1012"/>
      <c r="AV232" s="128"/>
      <c r="AW232" s="1012" t="str">
        <f t="shared" si="33"/>
        <v/>
      </c>
      <c r="AX232" s="1012"/>
      <c r="AY232" s="1012"/>
      <c r="AZ232" s="128"/>
      <c r="BA232" s="1012" t="str">
        <f t="shared" si="34"/>
        <v/>
      </c>
      <c r="BB232" s="1012"/>
      <c r="BC232" s="1012"/>
      <c r="DF232" s="124"/>
      <c r="DK232" s="125"/>
      <c r="DL232" s="125"/>
      <c r="DM232" s="125"/>
      <c r="DN232" s="125"/>
      <c r="DO232" s="125"/>
      <c r="DP232" s="125"/>
      <c r="DQ232" s="125"/>
      <c r="DR232" s="135"/>
      <c r="DS232" s="135"/>
      <c r="DT232" s="135"/>
      <c r="DU232" s="135"/>
      <c r="DV232" s="19"/>
      <c r="DW232" s="19"/>
      <c r="DX232" s="19"/>
    </row>
    <row r="233" spans="6:128" ht="11.25" customHeight="1" x14ac:dyDescent="0.25">
      <c r="F233" s="124"/>
      <c r="I233" s="129"/>
      <c r="J233" s="129"/>
      <c r="K233" s="129"/>
      <c r="L233" s="129"/>
      <c r="M233" s="129"/>
      <c r="N233" s="129"/>
      <c r="O233" s="129"/>
      <c r="P233" s="129"/>
      <c r="Q233" s="63"/>
      <c r="R233" s="63"/>
      <c r="S233" s="63"/>
      <c r="T233" s="63"/>
      <c r="U233" s="63"/>
      <c r="V233" s="63"/>
      <c r="X233" s="63"/>
      <c r="Y233" s="63"/>
      <c r="Z233" s="63"/>
      <c r="AB233" s="63"/>
      <c r="AC233" s="63"/>
      <c r="AD233" s="63"/>
      <c r="AH233" s="129"/>
      <c r="AI233" s="129"/>
      <c r="AJ233" s="129"/>
      <c r="AK233" s="129"/>
      <c r="AL233" s="129"/>
      <c r="AM233" s="129"/>
      <c r="AN233" s="129"/>
      <c r="AO233" s="129"/>
      <c r="AP233" s="63"/>
      <c r="AQ233" s="63"/>
      <c r="AR233" s="63"/>
      <c r="AS233" s="63"/>
      <c r="AT233" s="63"/>
      <c r="AU233" s="63"/>
      <c r="AV233" s="63"/>
      <c r="AW233" s="63"/>
      <c r="AX233" s="63"/>
      <c r="AY233" s="63"/>
      <c r="AZ233" s="63"/>
      <c r="BA233" s="63"/>
      <c r="BB233" s="63"/>
      <c r="BC233" s="63"/>
      <c r="DF233" s="124"/>
      <c r="DK233" s="125"/>
      <c r="DL233" s="125"/>
      <c r="DM233" s="125"/>
      <c r="DN233" s="125"/>
      <c r="DO233" s="125"/>
      <c r="DP233" s="125"/>
      <c r="DQ233" s="125"/>
      <c r="DR233" s="135"/>
      <c r="DS233" s="135"/>
      <c r="DT233" s="135"/>
      <c r="DU233" s="135"/>
      <c r="DV233" s="19"/>
      <c r="DW233" s="19"/>
      <c r="DX233" s="19"/>
    </row>
    <row r="234" spans="6:128" ht="15" customHeight="1" x14ac:dyDescent="0.25">
      <c r="F234" s="124"/>
      <c r="AH234" s="691" t="str">
        <f>AH213</f>
        <v>Secteur non connu</v>
      </c>
      <c r="AI234" s="691"/>
      <c r="AJ234" s="691"/>
      <c r="AK234" s="691"/>
      <c r="AL234" s="691"/>
      <c r="AM234" s="691"/>
      <c r="AN234" s="691"/>
      <c r="AO234" s="691"/>
      <c r="AP234" s="691"/>
      <c r="AQ234" s="691"/>
      <c r="AR234" s="691"/>
      <c r="AS234" s="1005" t="str">
        <f>IF(AND(AS192="",AS213=""),"",IF(OR(AS192="",AS213=""),N.D.,SUM(AS192,AS213)))</f>
        <v/>
      </c>
      <c r="AT234" s="1005"/>
      <c r="AU234" s="1005"/>
      <c r="AV234" s="128"/>
      <c r="AW234" s="1005" t="str">
        <f>IF(AND(AW192="",AW213=""),"",IF(OR(AW192="",AW213=""),N.D.,SUM(AW192,AW213)))</f>
        <v/>
      </c>
      <c r="AX234" s="1005"/>
      <c r="AY234" s="1005"/>
      <c r="AZ234" s="128"/>
      <c r="BA234" s="1005" t="str">
        <f>IF(AND(BA192="",BA213=""),"",IF(OR(BA192="",BA213=""),N.D.,SUM(BA192,BA213)))</f>
        <v/>
      </c>
      <c r="BB234" s="1005"/>
      <c r="BC234" s="1005"/>
      <c r="DF234" s="124"/>
      <c r="DK234" s="125"/>
      <c r="DL234" s="125"/>
      <c r="DM234" s="125"/>
      <c r="DN234" s="125"/>
      <c r="DO234" s="125"/>
      <c r="DP234" s="125"/>
      <c r="DQ234" s="125"/>
      <c r="DR234" s="135"/>
      <c r="DS234" s="135"/>
      <c r="DT234" s="135"/>
      <c r="DU234" s="135"/>
      <c r="DV234" s="19"/>
      <c r="DW234" s="19"/>
      <c r="DX234" s="19"/>
    </row>
    <row r="235" spans="6:128" ht="7.5" customHeight="1" x14ac:dyDescent="0.25">
      <c r="F235" s="124"/>
      <c r="I235" s="189"/>
      <c r="J235" s="189"/>
      <c r="K235" s="189"/>
      <c r="L235" s="189"/>
      <c r="M235" s="189"/>
      <c r="N235" s="189"/>
      <c r="O235" s="189"/>
      <c r="P235" s="189"/>
      <c r="Q235" s="63"/>
      <c r="R235" s="63"/>
      <c r="S235" s="63"/>
      <c r="T235" s="63"/>
      <c r="U235" s="63"/>
      <c r="V235" s="63"/>
      <c r="X235" s="63"/>
      <c r="Y235" s="63"/>
      <c r="Z235" s="63"/>
      <c r="AB235" s="63"/>
      <c r="AC235" s="63"/>
      <c r="AD235" s="63"/>
      <c r="AH235" s="129"/>
      <c r="AI235" s="129"/>
      <c r="AJ235" s="129"/>
      <c r="AK235" s="129"/>
      <c r="AL235" s="129"/>
      <c r="AM235" s="129"/>
      <c r="AN235" s="129"/>
      <c r="AO235" s="129"/>
      <c r="AP235" s="63"/>
      <c r="AQ235" s="63"/>
      <c r="AR235" s="63"/>
      <c r="AS235" s="63"/>
      <c r="AT235" s="63"/>
      <c r="AU235" s="63"/>
      <c r="AV235" s="63"/>
      <c r="AW235" s="63"/>
      <c r="AX235" s="63"/>
      <c r="AY235" s="63"/>
      <c r="AZ235" s="63"/>
      <c r="BA235" s="63"/>
      <c r="BB235" s="63"/>
      <c r="BC235" s="63"/>
      <c r="DF235" s="124"/>
      <c r="DK235" s="125"/>
      <c r="DL235" s="125"/>
      <c r="DM235" s="125"/>
      <c r="DN235" s="125"/>
      <c r="DO235" s="125"/>
      <c r="DP235" s="125"/>
      <c r="DQ235" s="125"/>
      <c r="DR235" s="135"/>
      <c r="DS235" s="135"/>
      <c r="DT235" s="135"/>
      <c r="DU235" s="135"/>
      <c r="DV235" s="19"/>
      <c r="DW235" s="19"/>
      <c r="DX235" s="19"/>
    </row>
    <row r="236" spans="6:128" ht="15" customHeight="1" x14ac:dyDescent="0.25">
      <c r="F236" s="124"/>
      <c r="I236" s="1026" t="str">
        <f>I194</f>
        <v>Total</v>
      </c>
      <c r="J236" s="1026"/>
      <c r="K236" s="1026"/>
      <c r="L236" s="1026"/>
      <c r="M236" s="1026"/>
      <c r="N236" s="1026"/>
      <c r="O236" s="1026"/>
      <c r="P236" s="1026"/>
      <c r="Q236" s="1026"/>
      <c r="R236" s="1026"/>
      <c r="S236" s="1026"/>
      <c r="T236" s="765" t="str">
        <f>IF(OR(T194=N.D.,T215=N.D.),N.D.,SUM(T194,T215))</f>
        <v>N.D.</v>
      </c>
      <c r="U236" s="765"/>
      <c r="V236" s="765"/>
      <c r="W236" s="172"/>
      <c r="X236" s="765" t="str">
        <f>IF(OR(X194=N.D.,X215=N.D.),N.D.,SUM(X194,X215))</f>
        <v>N.D.</v>
      </c>
      <c r="Y236" s="765"/>
      <c r="Z236" s="765"/>
      <c r="AA236" s="172"/>
      <c r="AB236" s="765" t="str">
        <f>IF(OR(AB194=N.D.,AB215=N.D.),N.D.,SUM(AB194,AB215))</f>
        <v>N.D.</v>
      </c>
      <c r="AC236" s="765"/>
      <c r="AD236" s="765"/>
      <c r="AH236" s="1026" t="str">
        <f>I194</f>
        <v>Total</v>
      </c>
      <c r="AI236" s="1026"/>
      <c r="AJ236" s="1026"/>
      <c r="AK236" s="1026"/>
      <c r="AL236" s="1026"/>
      <c r="AM236" s="1026"/>
      <c r="AN236" s="1026"/>
      <c r="AO236" s="1026"/>
      <c r="AP236" s="1026"/>
      <c r="AQ236" s="1026"/>
      <c r="AR236" s="1026"/>
      <c r="AS236" s="765" t="str">
        <f>IF(OR(AS194=N.D.,AS215=N.D.),N.D.,IF(AND(AS194="",AS215=""),"",SUM(AS194,AS215)))</f>
        <v>N.D.</v>
      </c>
      <c r="AT236" s="765"/>
      <c r="AU236" s="765"/>
      <c r="AV236" s="172"/>
      <c r="AW236" s="765" t="str">
        <f>IF(OR(AW194=N.D.,AW215=N.D.),N.D.,IF(AND(AW194="",AW215=""),"",SUM(AW194,AW215)))</f>
        <v>N.D.</v>
      </c>
      <c r="AX236" s="765"/>
      <c r="AY236" s="765"/>
      <c r="AZ236" s="172"/>
      <c r="BA236" s="765" t="str">
        <f>IF(OR(BA194=N.D.,BA215=N.D.),N.D.,IF(AND(BA194="",BA215=""),"",SUM(BA194,BA215)))</f>
        <v>N.D.</v>
      </c>
      <c r="BB236" s="765"/>
      <c r="BC236" s="765"/>
      <c r="DF236" s="124"/>
      <c r="DK236" s="125"/>
      <c r="DL236" s="125"/>
      <c r="DM236" s="125"/>
      <c r="DN236" s="125"/>
      <c r="DO236" s="125"/>
      <c r="DP236" s="125"/>
      <c r="DQ236" s="125"/>
      <c r="DR236" s="135"/>
      <c r="DS236" s="135"/>
      <c r="DT236" s="135"/>
      <c r="DU236" s="135"/>
      <c r="DV236" s="19"/>
      <c r="DW236" s="19"/>
      <c r="DX236" s="19"/>
    </row>
    <row r="237" spans="6:128" ht="15" customHeight="1" x14ac:dyDescent="0.25">
      <c r="F237" s="124"/>
      <c r="I237" s="768" t="str">
        <f>IF((COUNTIF(T236,N.D.)+(COUNTIF(X236,N.D.)))=0,"",N.D.)</f>
        <v>N.D.</v>
      </c>
      <c r="J237" s="768"/>
      <c r="K237" s="758" t="str">
        <f>IF(I237=N.D.,txt_N.D.&amp;'Données générales'!J8&amp;", "&amp;'Données générales'!AH8&amp;" ou "&amp;I5,"")</f>
        <v>Non disponible : vérifiez les données à la question 1.3, 1.5 ou 3.1.</v>
      </c>
      <c r="L237" s="758"/>
      <c r="M237" s="758"/>
      <c r="N237" s="758"/>
      <c r="O237" s="758"/>
      <c r="P237" s="758"/>
      <c r="Q237" s="758"/>
      <c r="R237" s="758"/>
      <c r="S237" s="758"/>
      <c r="T237" s="758"/>
      <c r="U237" s="758"/>
      <c r="V237" s="758"/>
      <c r="W237" s="758"/>
      <c r="X237" s="758"/>
      <c r="Y237" s="758"/>
      <c r="Z237" s="758"/>
      <c r="AA237" s="758"/>
      <c r="AB237" s="758"/>
      <c r="AC237" s="758"/>
      <c r="AD237" s="758"/>
      <c r="DF237" s="124"/>
      <c r="DK237" s="125"/>
      <c r="DL237" s="125"/>
      <c r="DM237" s="125"/>
      <c r="DN237" s="125"/>
      <c r="DO237" s="125"/>
      <c r="DP237" s="125"/>
      <c r="DQ237" s="125"/>
      <c r="DR237" s="135"/>
      <c r="DS237" s="135"/>
      <c r="DT237" s="135"/>
      <c r="DU237" s="135"/>
      <c r="DV237" s="19"/>
      <c r="DW237" s="19"/>
      <c r="DX237" s="19"/>
    </row>
    <row r="238" spans="6:128" ht="15" customHeight="1" x14ac:dyDescent="0.25">
      <c r="F238" s="124"/>
      <c r="I238" s="102"/>
      <c r="J238" s="102"/>
      <c r="K238" s="19"/>
      <c r="L238" s="19"/>
      <c r="M238" s="19"/>
      <c r="N238" s="19"/>
      <c r="O238" s="19"/>
      <c r="P238" s="19"/>
      <c r="Q238" s="19"/>
      <c r="R238" s="19"/>
      <c r="S238" s="19"/>
      <c r="T238" s="19"/>
      <c r="U238" s="19"/>
      <c r="V238" s="19"/>
      <c r="W238" s="19"/>
      <c r="X238" s="19"/>
      <c r="Y238" s="19"/>
      <c r="Z238" s="19"/>
      <c r="AA238" s="19"/>
      <c r="AB238" s="19"/>
      <c r="AC238" s="19"/>
      <c r="AD238" s="19"/>
      <c r="AG238" s="1027" t="str">
        <f>txt_aide</f>
        <v>Aide à la validation des données :</v>
      </c>
      <c r="AH238" s="1027"/>
      <c r="AI238" s="1027"/>
      <c r="AJ238" s="1027"/>
      <c r="AK238" s="1027"/>
      <c r="AL238" s="1027"/>
      <c r="AM238" s="1027"/>
      <c r="AN238" s="1027"/>
      <c r="AO238" s="1027"/>
      <c r="AP238" s="1027"/>
      <c r="AQ238" s="1027"/>
      <c r="AR238" s="31"/>
      <c r="AS238" s="764" t="str">
        <f>IF(OR(T236=N.D.,AS194=N.D.,AS215=N.D.),N.D.,IF(AND(T236=0,AS236=0),0,IF(OR(T236=0,AS236=0),N.A.,IF(AS236&lt;T236,(T236-AS236)/AS236,(AS236-T236)/T236))))</f>
        <v>N.D.</v>
      </c>
      <c r="AT238" s="764"/>
      <c r="AU238" s="764"/>
      <c r="AV238" s="172"/>
      <c r="AW238" s="764" t="str">
        <f>IF(OR(X236=N.D.,AW194=N.D.,AW215=N.D.),N.D.,IF(AND(X236=0,AW236=0),0,IF(OR(X236=0,AW236=0),N.A.,IF(AW236&lt;X236,(X236-AW236)/AW236,(AW236-X236)/X236))))</f>
        <v>N.D.</v>
      </c>
      <c r="AX238" s="764"/>
      <c r="AY238" s="764"/>
      <c r="AZ238" s="172"/>
      <c r="BA238" s="764" t="str">
        <f>IF(OR(AB236=N.D.,BA194=N.D.,BA215=N.D.),N.D.,IF(AND(AB236=0,BA236=0),0,IF(OR(AB236=0,BA236=0),N.A.,IF(BA236&lt;AB236,(AB236-BA236)/BA236,(BA236-AB236)/AB236))))</f>
        <v>N.D.</v>
      </c>
      <c r="BB238" s="764"/>
      <c r="BC238" s="764"/>
      <c r="DF238" s="124"/>
      <c r="DK238" s="125"/>
      <c r="DL238" s="125"/>
      <c r="DM238" s="125"/>
      <c r="DN238" s="125"/>
      <c r="DO238" s="125"/>
      <c r="DP238" s="125"/>
      <c r="DQ238" s="125"/>
      <c r="DR238" s="135"/>
      <c r="DS238" s="135"/>
      <c r="DT238" s="135"/>
      <c r="DU238" s="135"/>
      <c r="DV238" s="19"/>
      <c r="DW238" s="19"/>
      <c r="DX238" s="19"/>
    </row>
    <row r="239" spans="6:128" ht="15" customHeight="1" x14ac:dyDescent="0.25">
      <c r="F239" s="124"/>
      <c r="AG239" s="115" t="str">
        <f>IF(ici_donnees_autres&lt;&gt;menu_outil,IF(OR(I237=N.D.,AS238=N.D.,AW238=N.D.,BA238=N.D.,),N.D.,""),"")</f>
        <v>N.D.</v>
      </c>
      <c r="AH239" s="16" t="str">
        <f>puce1</f>
        <v>Ä</v>
      </c>
      <c r="AI239" s="1080" t="str">
        <f>IF(AG239=N.D.,txt_N.D.&amp;J169,IF(ici_donnees_autres&lt;&gt;menu_outil,"",txt_validation))</f>
        <v>Non disponible : vérifiez les données à la question 3.2.2.</v>
      </c>
      <c r="AJ239" s="1080"/>
      <c r="AK239" s="1080"/>
      <c r="AL239" s="1080"/>
      <c r="AM239" s="1080"/>
      <c r="AN239" s="1080"/>
      <c r="AO239" s="1080"/>
      <c r="AP239" s="1080"/>
      <c r="AQ239" s="1080"/>
      <c r="AR239" s="1080"/>
      <c r="AS239" s="1080"/>
      <c r="AT239" s="1080"/>
      <c r="AU239" s="1080"/>
      <c r="AV239" s="1080"/>
      <c r="AW239" s="1080"/>
      <c r="AX239" s="1080"/>
      <c r="AY239" s="1080"/>
      <c r="AZ239" s="1080"/>
      <c r="BA239" s="1080"/>
      <c r="BB239" s="1080"/>
      <c r="DF239" s="124"/>
    </row>
    <row r="240" spans="6:128" ht="15" customHeight="1" x14ac:dyDescent="0.25">
      <c r="F240" s="124"/>
      <c r="I240" s="188"/>
      <c r="J240" s="188"/>
      <c r="K240" s="188"/>
      <c r="L240" s="188"/>
      <c r="M240" s="188"/>
      <c r="N240" s="188"/>
      <c r="O240" s="188"/>
      <c r="P240" s="188"/>
      <c r="Q240" s="188"/>
      <c r="R240" s="188"/>
      <c r="S240" s="188"/>
      <c r="T240" s="188"/>
      <c r="U240" s="188"/>
      <c r="V240" s="188"/>
      <c r="W240" s="188"/>
      <c r="X240" s="188"/>
      <c r="Y240" s="188"/>
      <c r="Z240" s="188"/>
      <c r="AA240" s="188"/>
      <c r="AB240" s="188"/>
      <c r="AC240" s="19"/>
      <c r="AD240" s="19"/>
      <c r="AE240" s="19"/>
      <c r="AG240" s="188"/>
      <c r="AH240" s="188"/>
      <c r="AI240" s="188"/>
      <c r="AJ240" s="188"/>
      <c r="AK240" s="188"/>
      <c r="AL240" s="188"/>
      <c r="AM240" s="188"/>
      <c r="BE240" s="54"/>
      <c r="BF240" s="54"/>
      <c r="BG240" s="54"/>
      <c r="BH240" s="54"/>
      <c r="BI240" s="54"/>
      <c r="BJ240" s="54"/>
      <c r="BK240" s="54"/>
      <c r="BL240" s="54"/>
      <c r="BM240" s="54"/>
      <c r="BN240" s="54"/>
      <c r="BO240" s="54"/>
      <c r="BP240" s="54"/>
      <c r="BQ240" s="54"/>
      <c r="BR240" s="54"/>
      <c r="BS240" s="54"/>
      <c r="BT240" s="54"/>
      <c r="BU240" s="54"/>
      <c r="BV240" s="54"/>
      <c r="BW240" s="54"/>
      <c r="BX240" s="54"/>
      <c r="BY240" s="54"/>
      <c r="BZ240" s="54"/>
      <c r="CA240" s="54"/>
      <c r="CB240" s="54"/>
      <c r="CC240" s="54"/>
      <c r="CD240" s="54"/>
      <c r="CE240" s="54"/>
      <c r="CF240" s="54"/>
      <c r="CG240" s="54"/>
      <c r="CH240" s="54"/>
      <c r="CI240" s="54"/>
      <c r="CJ240" s="54"/>
      <c r="CK240" s="54"/>
      <c r="CL240" s="54"/>
      <c r="CM240" s="54"/>
      <c r="CN240" s="54"/>
      <c r="CO240" s="54"/>
      <c r="CP240" s="54"/>
      <c r="CQ240" s="54"/>
      <c r="CR240" s="54"/>
      <c r="CS240" s="54"/>
      <c r="CT240" s="54"/>
      <c r="CU240" s="54"/>
      <c r="CV240" s="54"/>
      <c r="CW240" s="54"/>
      <c r="CX240" s="54"/>
      <c r="CY240" s="54"/>
      <c r="CZ240" s="54"/>
      <c r="DA240" s="54"/>
      <c r="DB240" s="54"/>
      <c r="DC240" s="54"/>
      <c r="DD240" s="54"/>
      <c r="DE240" s="54"/>
      <c r="DF240" s="124"/>
      <c r="DG240" s="54"/>
      <c r="DV240" s="19"/>
      <c r="DW240" s="19"/>
      <c r="DX240" s="19"/>
    </row>
    <row r="241" spans="3:112" ht="6" customHeight="1" x14ac:dyDescent="0.25">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124"/>
      <c r="BY241" s="124"/>
      <c r="BZ241" s="124"/>
      <c r="CA241" s="124"/>
      <c r="CB241" s="124"/>
      <c r="CC241" s="124"/>
      <c r="CD241" s="124"/>
      <c r="CE241" s="124"/>
      <c r="CF241" s="124"/>
      <c r="CG241" s="124"/>
      <c r="CH241" s="124"/>
      <c r="CI241" s="124"/>
      <c r="CJ241" s="124"/>
      <c r="CK241" s="124"/>
      <c r="CL241" s="124"/>
      <c r="CM241" s="124"/>
      <c r="CN241" s="124"/>
      <c r="CO241" s="124"/>
      <c r="CP241" s="124"/>
      <c r="CQ241" s="124"/>
      <c r="CR241" s="124"/>
      <c r="CS241" s="124"/>
      <c r="CT241" s="124"/>
      <c r="CU241" s="124"/>
      <c r="CV241" s="124"/>
      <c r="CW241" s="124"/>
      <c r="CX241" s="124"/>
      <c r="CY241" s="124"/>
      <c r="CZ241" s="124"/>
      <c r="DA241" s="124"/>
      <c r="DB241" s="124"/>
      <c r="DC241" s="124"/>
      <c r="DD241" s="124"/>
      <c r="DE241" s="124"/>
      <c r="DF241" s="124"/>
      <c r="DG241" s="54"/>
      <c r="DH241" s="54"/>
    </row>
    <row r="242" spans="3:112" ht="15" customHeight="1" x14ac:dyDescent="0.25">
      <c r="F242" s="124"/>
      <c r="BE242" s="54"/>
      <c r="BF242" s="54"/>
      <c r="BG242" s="54"/>
      <c r="BH242" s="54"/>
      <c r="BI242" s="54"/>
      <c r="BJ242" s="54"/>
      <c r="BK242" s="54"/>
      <c r="BL242" s="54"/>
      <c r="BM242" s="54"/>
      <c r="BN242" s="54"/>
      <c r="BO242" s="54"/>
      <c r="BP242" s="54"/>
      <c r="BQ242" s="54"/>
      <c r="BR242" s="54"/>
      <c r="BS242" s="54"/>
      <c r="BT242" s="54"/>
      <c r="BU242" s="54"/>
      <c r="BV242" s="54"/>
      <c r="BW242" s="54"/>
      <c r="BX242" s="54"/>
      <c r="BY242" s="54"/>
      <c r="BZ242" s="54"/>
      <c r="CA242" s="54"/>
      <c r="CB242" s="54"/>
      <c r="CC242" s="54"/>
      <c r="CD242" s="54"/>
      <c r="CE242" s="54"/>
      <c r="CF242" s="54"/>
      <c r="CG242" s="54"/>
      <c r="CH242" s="54"/>
      <c r="CI242" s="54"/>
      <c r="CJ242" s="54"/>
      <c r="CK242" s="54"/>
      <c r="CL242" s="54"/>
      <c r="CM242" s="54"/>
      <c r="CN242" s="54"/>
      <c r="CO242" s="54"/>
      <c r="CP242" s="54"/>
      <c r="CQ242" s="54"/>
      <c r="CR242" s="54"/>
      <c r="CS242" s="54"/>
      <c r="CT242" s="54"/>
      <c r="CU242" s="54"/>
      <c r="CV242" s="54"/>
      <c r="CW242" s="54"/>
      <c r="CX242" s="54"/>
      <c r="CY242" s="54"/>
      <c r="CZ242" s="54"/>
      <c r="DA242" s="54"/>
      <c r="DB242" s="54"/>
      <c r="DC242" s="54"/>
      <c r="DD242" s="54"/>
      <c r="DE242" s="54"/>
      <c r="DF242" s="124"/>
      <c r="DG242" s="54"/>
      <c r="DH242" s="54"/>
    </row>
    <row r="243" spans="3:112" ht="15" customHeight="1" x14ac:dyDescent="0.25">
      <c r="C243" s="5">
        <v>3</v>
      </c>
      <c r="F243" s="124"/>
      <c r="I243" s="185" t="str">
        <f>CONCATENATE($B$2,".",$C243,".")</f>
        <v>3.3.</v>
      </c>
      <c r="J243" s="1071" t="s">
        <v>450</v>
      </c>
      <c r="K243" s="1071"/>
      <c r="L243" s="1071"/>
      <c r="M243" s="1071"/>
      <c r="N243" s="1071"/>
      <c r="O243" s="1071"/>
      <c r="P243" s="1071"/>
      <c r="Q243" s="1071"/>
      <c r="R243" s="1071"/>
      <c r="S243" s="1071"/>
      <c r="T243" s="1071"/>
      <c r="U243" s="1071"/>
      <c r="V243" s="1071"/>
      <c r="W243" s="1071"/>
      <c r="X243" s="1071"/>
      <c r="Y243" s="1071"/>
      <c r="Z243" s="1071"/>
      <c r="AA243" s="1071"/>
      <c r="AB243" s="1071"/>
      <c r="AC243" s="1071"/>
      <c r="AD243" s="1071"/>
      <c r="DF243" s="124"/>
    </row>
    <row r="244" spans="3:112" ht="15" customHeight="1" x14ac:dyDescent="0.25">
      <c r="F244" s="124"/>
      <c r="I244" s="185"/>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DF244" s="124"/>
    </row>
    <row r="245" spans="3:112" ht="34.5" customHeight="1" x14ac:dyDescent="0.25">
      <c r="C245" s="73" t="str">
        <f>C243&amp;".1"</f>
        <v>3.1</v>
      </c>
      <c r="F245" s="124"/>
      <c r="I245" s="53"/>
      <c r="J245" s="591" t="str">
        <f>CONCATENATE($B$2,".",$C245,".")</f>
        <v>3.3.1.</v>
      </c>
      <c r="K245" s="1028" t="s">
        <v>782</v>
      </c>
      <c r="L245" s="1029"/>
      <c r="M245" s="1029"/>
      <c r="N245" s="1029"/>
      <c r="O245" s="1029"/>
      <c r="P245" s="1029"/>
      <c r="Q245" s="1029"/>
      <c r="R245" s="1029"/>
      <c r="S245" s="1029"/>
      <c r="T245" s="1029"/>
      <c r="U245" s="1029"/>
      <c r="V245" s="1029"/>
      <c r="W245" s="1029"/>
      <c r="X245" s="1029"/>
      <c r="Y245" s="1029"/>
      <c r="Z245" s="1029"/>
      <c r="AA245" s="1029"/>
      <c r="AB245" s="1029"/>
      <c r="AC245" s="1029"/>
      <c r="AD245" s="1029"/>
      <c r="AE245" s="1029"/>
      <c r="AF245" s="1029"/>
      <c r="AG245" s="1029"/>
      <c r="AH245" s="1029"/>
      <c r="DF245" s="124"/>
    </row>
    <row r="246" spans="3:112" ht="15" customHeight="1" x14ac:dyDescent="0.25">
      <c r="F246" s="124"/>
      <c r="AI246" s="26"/>
      <c r="AJ246" s="26"/>
      <c r="AK246" s="26"/>
      <c r="AL246" s="26"/>
      <c r="AM246" s="26"/>
      <c r="AN246" s="26"/>
      <c r="AO246" s="26"/>
      <c r="AP246" s="26"/>
      <c r="AQ246" s="26"/>
      <c r="DF246" s="124"/>
    </row>
    <row r="247" spans="3:112" ht="15" customHeight="1" x14ac:dyDescent="0.25">
      <c r="F247" s="124"/>
      <c r="I247" s="26"/>
      <c r="Q247" s="1001" t="s">
        <v>610</v>
      </c>
      <c r="R247" s="1001"/>
      <c r="S247" s="1001"/>
      <c r="T247" s="1001"/>
      <c r="V247" s="1001" t="s">
        <v>611</v>
      </c>
      <c r="W247" s="1001"/>
      <c r="X247" s="1001"/>
      <c r="Y247" s="1001"/>
      <c r="AA247" s="1001" t="s">
        <v>612</v>
      </c>
      <c r="AB247" s="1001"/>
      <c r="AC247" s="1001"/>
      <c r="AD247" s="1001"/>
      <c r="AH247" s="26"/>
      <c r="AP247" s="1001" t="str">
        <f>Q247</f>
        <v>Récupéré (t)</v>
      </c>
      <c r="AQ247" s="1001"/>
      <c r="AR247" s="1001"/>
      <c r="AS247" s="1001"/>
      <c r="AU247" s="1001" t="str">
        <f>V247</f>
        <v>Éliminé (t)</v>
      </c>
      <c r="AV247" s="1001"/>
      <c r="AW247" s="1001"/>
      <c r="AX247" s="1001"/>
      <c r="AZ247" s="1001" t="str">
        <f>AA247</f>
        <v>Généré (t)</v>
      </c>
      <c r="BA247" s="1001"/>
      <c r="BB247" s="1001"/>
      <c r="BC247" s="1001"/>
      <c r="DF247" s="124"/>
    </row>
    <row r="248" spans="3:112" ht="15" customHeight="1" x14ac:dyDescent="0.25">
      <c r="F248" s="124"/>
      <c r="I248" s="701" t="s">
        <v>711</v>
      </c>
      <c r="J248" s="701"/>
      <c r="K248" s="701"/>
      <c r="L248" s="701"/>
      <c r="M248" s="701"/>
      <c r="N248" s="701"/>
      <c r="O248" s="701"/>
      <c r="P248" s="701"/>
      <c r="Q248" s="1025"/>
      <c r="R248" s="1025"/>
      <c r="S248" s="1025"/>
      <c r="T248" s="1025"/>
      <c r="U248" s="62"/>
      <c r="V248" s="1025"/>
      <c r="W248" s="1025"/>
      <c r="X248" s="1025"/>
      <c r="Y248" s="1025"/>
      <c r="Z248" s="62"/>
      <c r="AA248" s="1007" t="str">
        <f t="shared" ref="AA248:AA255" si="35">IF(OR(Q248="",V248=""),"",SUM(Q248,V248))</f>
        <v/>
      </c>
      <c r="AB248" s="1007"/>
      <c r="AC248" s="1007"/>
      <c r="AD248" s="1007"/>
      <c r="AH248" s="701" t="s">
        <v>458</v>
      </c>
      <c r="AI248" s="701"/>
      <c r="AJ248" s="701"/>
      <c r="AK248" s="701"/>
      <c r="AL248" s="701"/>
      <c r="AM248" s="701"/>
      <c r="AN248" s="701"/>
      <c r="AO248" s="701"/>
      <c r="AP248" s="1025"/>
      <c r="AQ248" s="1025"/>
      <c r="AR248" s="1025"/>
      <c r="AS248" s="1025"/>
      <c r="AT248" s="62"/>
      <c r="AU248" s="1025"/>
      <c r="AV248" s="1025"/>
      <c r="AW248" s="1025"/>
      <c r="AX248" s="1025"/>
      <c r="AY248" s="62"/>
      <c r="AZ248" s="1007" t="str">
        <f>IF(OR(AP248="",AU248=""),"",SUM(AP248,AU248))</f>
        <v/>
      </c>
      <c r="BA248" s="1007"/>
      <c r="BB248" s="1007"/>
      <c r="BC248" s="1007"/>
      <c r="DF248" s="124"/>
    </row>
    <row r="249" spans="3:112" ht="15" customHeight="1" x14ac:dyDescent="0.25">
      <c r="F249" s="124"/>
      <c r="I249" s="691" t="s">
        <v>452</v>
      </c>
      <c r="J249" s="691"/>
      <c r="K249" s="691"/>
      <c r="L249" s="691"/>
      <c r="M249" s="691"/>
      <c r="N249" s="691"/>
      <c r="O249" s="691"/>
      <c r="P249" s="691"/>
      <c r="Q249" s="1025"/>
      <c r="R249" s="1025"/>
      <c r="S249" s="1025"/>
      <c r="T249" s="1025"/>
      <c r="U249" s="62"/>
      <c r="V249" s="1008"/>
      <c r="W249" s="1008"/>
      <c r="X249" s="1008"/>
      <c r="Y249" s="1008"/>
      <c r="Z249" s="62"/>
      <c r="AA249" s="1007" t="str">
        <f t="shared" si="35"/>
        <v/>
      </c>
      <c r="AB249" s="1007"/>
      <c r="AC249" s="1007"/>
      <c r="AD249" s="1007"/>
      <c r="AN249" s="15"/>
      <c r="DF249" s="124"/>
    </row>
    <row r="250" spans="3:112" ht="15" customHeight="1" x14ac:dyDescent="0.25">
      <c r="F250" s="124"/>
      <c r="I250" s="691" t="s">
        <v>454</v>
      </c>
      <c r="J250" s="691"/>
      <c r="K250" s="691"/>
      <c r="L250" s="691"/>
      <c r="M250" s="691"/>
      <c r="N250" s="691"/>
      <c r="O250" s="691"/>
      <c r="P250" s="691"/>
      <c r="Q250" s="1025"/>
      <c r="R250" s="1025"/>
      <c r="S250" s="1025"/>
      <c r="T250" s="1025"/>
      <c r="U250" s="62"/>
      <c r="V250" s="1008"/>
      <c r="W250" s="1008"/>
      <c r="X250" s="1008"/>
      <c r="Y250" s="1008"/>
      <c r="Z250" s="62"/>
      <c r="AA250" s="1007" t="str">
        <f t="shared" si="35"/>
        <v/>
      </c>
      <c r="AB250" s="1007"/>
      <c r="AC250" s="1007"/>
      <c r="AD250" s="1007"/>
      <c r="AH250" s="5" t="s">
        <v>693</v>
      </c>
      <c r="DF250" s="124"/>
    </row>
    <row r="251" spans="3:112" ht="15" customHeight="1" x14ac:dyDescent="0.25">
      <c r="F251" s="124"/>
      <c r="I251" s="691" t="s">
        <v>456</v>
      </c>
      <c r="J251" s="691"/>
      <c r="K251" s="691"/>
      <c r="L251" s="691"/>
      <c r="M251" s="691"/>
      <c r="N251" s="691"/>
      <c r="O251" s="691"/>
      <c r="P251" s="691"/>
      <c r="Q251" s="1025"/>
      <c r="R251" s="1025"/>
      <c r="S251" s="1025"/>
      <c r="T251" s="1025"/>
      <c r="U251" s="62"/>
      <c r="V251" s="1008"/>
      <c r="W251" s="1008"/>
      <c r="X251" s="1008"/>
      <c r="Y251" s="1008"/>
      <c r="Z251" s="62"/>
      <c r="AA251" s="1007" t="str">
        <f t="shared" si="35"/>
        <v/>
      </c>
      <c r="AB251" s="1007"/>
      <c r="AC251" s="1007"/>
      <c r="AD251" s="1007"/>
      <c r="AH251" s="1084"/>
      <c r="AI251" s="1085"/>
      <c r="AJ251" s="1085"/>
      <c r="AK251" s="1085"/>
      <c r="AL251" s="1085"/>
      <c r="AM251" s="1085"/>
      <c r="AN251" s="1085"/>
      <c r="AO251" s="1085"/>
      <c r="AP251" s="1085"/>
      <c r="AQ251" s="1085"/>
      <c r="AR251" s="1085"/>
      <c r="AS251" s="1085"/>
      <c r="AT251" s="1085"/>
      <c r="AU251" s="1085"/>
      <c r="AV251" s="1085"/>
      <c r="AW251" s="1085"/>
      <c r="AX251" s="1085"/>
      <c r="AY251" s="1085"/>
      <c r="AZ251" s="1085"/>
      <c r="BA251" s="1085"/>
      <c r="BB251" s="1085"/>
      <c r="BC251" s="1086"/>
      <c r="DF251" s="124"/>
    </row>
    <row r="252" spans="3:112" ht="15" customHeight="1" x14ac:dyDescent="0.25">
      <c r="F252" s="124"/>
      <c r="I252" s="691" t="s">
        <v>451</v>
      </c>
      <c r="J252" s="691"/>
      <c r="K252" s="691"/>
      <c r="L252" s="691"/>
      <c r="M252" s="691"/>
      <c r="N252" s="691"/>
      <c r="O252" s="691"/>
      <c r="P252" s="691"/>
      <c r="Q252" s="1025"/>
      <c r="R252" s="1025"/>
      <c r="S252" s="1025"/>
      <c r="T252" s="1025"/>
      <c r="U252" s="62"/>
      <c r="V252" s="1008"/>
      <c r="W252" s="1008"/>
      <c r="X252" s="1008"/>
      <c r="Y252" s="1008"/>
      <c r="Z252" s="62"/>
      <c r="AA252" s="1007" t="str">
        <f t="shared" si="35"/>
        <v/>
      </c>
      <c r="AB252" s="1007"/>
      <c r="AC252" s="1007"/>
      <c r="AD252" s="1007"/>
      <c r="AH252" s="1087"/>
      <c r="AI252" s="1088"/>
      <c r="AJ252" s="1088"/>
      <c r="AK252" s="1088"/>
      <c r="AL252" s="1088"/>
      <c r="AM252" s="1088"/>
      <c r="AN252" s="1088"/>
      <c r="AO252" s="1088"/>
      <c r="AP252" s="1088"/>
      <c r="AQ252" s="1088"/>
      <c r="AR252" s="1088"/>
      <c r="AS252" s="1088"/>
      <c r="AT252" s="1088"/>
      <c r="AU252" s="1088"/>
      <c r="AV252" s="1088"/>
      <c r="AW252" s="1088"/>
      <c r="AX252" s="1088"/>
      <c r="AY252" s="1088"/>
      <c r="AZ252" s="1088"/>
      <c r="BA252" s="1088"/>
      <c r="BB252" s="1088"/>
      <c r="BC252" s="1089"/>
      <c r="DF252" s="124"/>
    </row>
    <row r="253" spans="3:112" ht="15" customHeight="1" x14ac:dyDescent="0.25">
      <c r="F253" s="124"/>
      <c r="I253" s="691" t="s">
        <v>453</v>
      </c>
      <c r="J253" s="691"/>
      <c r="K253" s="691"/>
      <c r="L253" s="691"/>
      <c r="M253" s="691"/>
      <c r="N253" s="691"/>
      <c r="O253" s="691"/>
      <c r="P253" s="691"/>
      <c r="Q253" s="1025"/>
      <c r="R253" s="1025"/>
      <c r="S253" s="1025"/>
      <c r="T253" s="1025"/>
      <c r="U253" s="62"/>
      <c r="V253" s="1008"/>
      <c r="W253" s="1008"/>
      <c r="X253" s="1008"/>
      <c r="Y253" s="1008"/>
      <c r="Z253" s="62"/>
      <c r="AA253" s="1007" t="str">
        <f t="shared" si="35"/>
        <v/>
      </c>
      <c r="AB253" s="1007"/>
      <c r="AC253" s="1007"/>
      <c r="AD253" s="1007"/>
      <c r="AH253" s="1087"/>
      <c r="AI253" s="1088"/>
      <c r="AJ253" s="1088"/>
      <c r="AK253" s="1088"/>
      <c r="AL253" s="1088"/>
      <c r="AM253" s="1088"/>
      <c r="AN253" s="1088"/>
      <c r="AO253" s="1088"/>
      <c r="AP253" s="1088"/>
      <c r="AQ253" s="1088"/>
      <c r="AR253" s="1088"/>
      <c r="AS253" s="1088"/>
      <c r="AT253" s="1088"/>
      <c r="AU253" s="1088"/>
      <c r="AV253" s="1088"/>
      <c r="AW253" s="1088"/>
      <c r="AX253" s="1088"/>
      <c r="AY253" s="1088"/>
      <c r="AZ253" s="1088"/>
      <c r="BA253" s="1088"/>
      <c r="BB253" s="1088"/>
      <c r="BC253" s="1089"/>
      <c r="DF253" s="124"/>
    </row>
    <row r="254" spans="3:112" ht="15" customHeight="1" x14ac:dyDescent="0.25">
      <c r="F254" s="124"/>
      <c r="I254" s="691" t="s">
        <v>455</v>
      </c>
      <c r="J254" s="691"/>
      <c r="K254" s="691"/>
      <c r="L254" s="691"/>
      <c r="M254" s="691"/>
      <c r="N254" s="691"/>
      <c r="O254" s="691"/>
      <c r="P254" s="691"/>
      <c r="Q254" s="1025"/>
      <c r="R254" s="1025"/>
      <c r="S254" s="1025"/>
      <c r="T254" s="1025"/>
      <c r="U254" s="62"/>
      <c r="V254" s="1008"/>
      <c r="W254" s="1008"/>
      <c r="X254" s="1008"/>
      <c r="Y254" s="1008"/>
      <c r="Z254" s="62"/>
      <c r="AA254" s="1007" t="str">
        <f t="shared" si="35"/>
        <v/>
      </c>
      <c r="AB254" s="1007"/>
      <c r="AC254" s="1007"/>
      <c r="AD254" s="1007"/>
      <c r="AH254" s="1090"/>
      <c r="AI254" s="1091"/>
      <c r="AJ254" s="1091"/>
      <c r="AK254" s="1091"/>
      <c r="AL254" s="1091"/>
      <c r="AM254" s="1091"/>
      <c r="AN254" s="1091"/>
      <c r="AO254" s="1091"/>
      <c r="AP254" s="1091"/>
      <c r="AQ254" s="1091"/>
      <c r="AR254" s="1091"/>
      <c r="AS254" s="1091"/>
      <c r="AT254" s="1091"/>
      <c r="AU254" s="1091"/>
      <c r="AV254" s="1091"/>
      <c r="AW254" s="1091"/>
      <c r="AX254" s="1091"/>
      <c r="AY254" s="1091"/>
      <c r="AZ254" s="1091"/>
      <c r="BA254" s="1091"/>
      <c r="BB254" s="1091"/>
      <c r="BC254" s="1092"/>
      <c r="DF254" s="124"/>
    </row>
    <row r="255" spans="3:112" ht="15" customHeight="1" x14ac:dyDescent="0.25">
      <c r="F255" s="124"/>
      <c r="I255" s="691" t="s">
        <v>457</v>
      </c>
      <c r="J255" s="691"/>
      <c r="K255" s="691"/>
      <c r="L255" s="691"/>
      <c r="M255" s="691"/>
      <c r="N255" s="691"/>
      <c r="O255" s="691"/>
      <c r="P255" s="691"/>
      <c r="Q255" s="1025"/>
      <c r="R255" s="1025"/>
      <c r="S255" s="1025"/>
      <c r="T255" s="1025"/>
      <c r="U255" s="62"/>
      <c r="V255" s="1008"/>
      <c r="W255" s="1008"/>
      <c r="X255" s="1008"/>
      <c r="Y255" s="1008"/>
      <c r="Z255" s="62"/>
      <c r="AA255" s="1007" t="str">
        <f t="shared" si="35"/>
        <v/>
      </c>
      <c r="AB255" s="1007"/>
      <c r="AC255" s="1007"/>
      <c r="AD255" s="1007"/>
      <c r="DF255" s="124"/>
    </row>
    <row r="256" spans="3:112" ht="15" customHeight="1" x14ac:dyDescent="0.25">
      <c r="F256" s="124"/>
      <c r="DF256" s="124"/>
    </row>
    <row r="257" spans="1:194" ht="15" customHeight="1" x14ac:dyDescent="0.25">
      <c r="F257" s="124"/>
      <c r="DF257" s="124"/>
    </row>
    <row r="258" spans="1:194" ht="6" customHeight="1" x14ac:dyDescent="0.25">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4"/>
      <c r="AV258" s="124"/>
      <c r="AW258" s="124"/>
      <c r="AX258" s="124"/>
      <c r="AY258" s="124"/>
      <c r="AZ258" s="124"/>
      <c r="BA258" s="124"/>
      <c r="BB258" s="124"/>
      <c r="BC258" s="124"/>
      <c r="BD258" s="124"/>
      <c r="BE258" s="124"/>
      <c r="BF258" s="124"/>
      <c r="BG258" s="124"/>
      <c r="BH258" s="124"/>
      <c r="BI258" s="124"/>
      <c r="BJ258" s="124"/>
      <c r="BK258" s="124"/>
      <c r="BL258" s="124"/>
      <c r="BM258" s="124"/>
      <c r="BN258" s="124"/>
      <c r="BO258" s="124"/>
      <c r="BP258" s="124"/>
      <c r="BQ258" s="124"/>
      <c r="BR258" s="124"/>
      <c r="BS258" s="124"/>
      <c r="BT258" s="124"/>
      <c r="BU258" s="124"/>
      <c r="BV258" s="124"/>
      <c r="BW258" s="124"/>
      <c r="BX258" s="124"/>
      <c r="BY258" s="124"/>
      <c r="BZ258" s="124"/>
      <c r="CA258" s="124"/>
      <c r="CB258" s="124"/>
      <c r="CC258" s="124"/>
      <c r="CD258" s="124"/>
      <c r="CE258" s="124"/>
      <c r="CF258" s="124"/>
      <c r="CG258" s="124"/>
      <c r="CH258" s="124"/>
      <c r="CI258" s="124"/>
      <c r="CJ258" s="124"/>
      <c r="CK258" s="124"/>
      <c r="CL258" s="124"/>
      <c r="CM258" s="124"/>
      <c r="CN258" s="124"/>
      <c r="CO258" s="124"/>
      <c r="CP258" s="124"/>
      <c r="CQ258" s="124"/>
      <c r="CR258" s="124"/>
      <c r="CS258" s="124"/>
      <c r="CT258" s="124"/>
      <c r="CU258" s="124"/>
      <c r="CV258" s="124"/>
      <c r="CW258" s="124"/>
      <c r="CX258" s="124"/>
      <c r="CY258" s="124"/>
      <c r="CZ258" s="124"/>
      <c r="DA258" s="124"/>
      <c r="DB258" s="124"/>
      <c r="DC258" s="124"/>
      <c r="DD258" s="124"/>
      <c r="DE258" s="124"/>
      <c r="DF258" s="124"/>
    </row>
    <row r="259" spans="1:194" ht="15" customHeight="1" x14ac:dyDescent="0.25">
      <c r="F259" s="124"/>
      <c r="DF259" s="124"/>
    </row>
    <row r="260" spans="1:194" ht="15" customHeight="1" thickBot="1" x14ac:dyDescent="0.3">
      <c r="C260" s="73">
        <f>C243+1</f>
        <v>4</v>
      </c>
      <c r="D260"/>
      <c r="E260"/>
      <c r="F260" s="124"/>
      <c r="G260"/>
      <c r="I260" s="185" t="str">
        <f>CONCATENATE($B$2,".",$C260,".")</f>
        <v>3.4.</v>
      </c>
      <c r="J260" s="184" t="s">
        <v>547</v>
      </c>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DF260" s="124"/>
    </row>
    <row r="261" spans="1:194" ht="15" customHeight="1" x14ac:dyDescent="0.25">
      <c r="C261"/>
      <c r="D261"/>
      <c r="E261"/>
      <c r="F261" s="124"/>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DF261" s="124"/>
      <c r="DI261" s="1013" t="str">
        <f>'Données - Résidentiel'!BI192</f>
        <v>Centre tri</v>
      </c>
      <c r="DJ261" s="1014"/>
      <c r="DK261" s="1014"/>
      <c r="DL261" s="1015"/>
    </row>
    <row r="262" spans="1:194" ht="15" customHeight="1" x14ac:dyDescent="0.25">
      <c r="C262" s="73" t="str">
        <f>$C$260&amp;".1"</f>
        <v>4.1</v>
      </c>
      <c r="D262" s="73"/>
      <c r="E262" s="21"/>
      <c r="F262" s="124"/>
      <c r="G262" s="19"/>
      <c r="H262" s="19"/>
      <c r="I262" s="19"/>
      <c r="J262" s="77" t="str">
        <f>CONCATENATE($B$2,".",$C262,".")</f>
        <v>3.4.1.</v>
      </c>
      <c r="K262" s="756" t="s">
        <v>680</v>
      </c>
      <c r="L262" s="756"/>
      <c r="M262" s="756"/>
      <c r="N262" s="756"/>
      <c r="O262" s="756"/>
      <c r="P262" s="756"/>
      <c r="Q262" s="756"/>
      <c r="R262" s="756"/>
      <c r="S262" s="756"/>
      <c r="T262" s="756"/>
      <c r="U262" s="756"/>
      <c r="V262" s="756"/>
      <c r="W262" s="756"/>
      <c r="X262" s="756"/>
      <c r="Y262" s="756"/>
      <c r="Z262" s="756"/>
      <c r="AA262" s="756"/>
      <c r="AB262" s="756"/>
      <c r="AC262" s="756"/>
      <c r="AD262" s="756"/>
      <c r="AE262" s="756"/>
      <c r="AF262" s="756"/>
      <c r="AG262" s="756"/>
      <c r="AH262" s="756"/>
      <c r="AI262" s="756"/>
      <c r="AJ262" s="756"/>
      <c r="AK262" s="756"/>
      <c r="AL262" s="756"/>
      <c r="AM262" s="756"/>
      <c r="AN262" s="756"/>
      <c r="AO262"/>
      <c r="AP262"/>
      <c r="AQ262"/>
      <c r="AR262"/>
      <c r="AS262"/>
      <c r="AT262"/>
      <c r="AU262"/>
      <c r="AV262"/>
      <c r="AW262"/>
      <c r="AX262"/>
      <c r="AY262"/>
      <c r="AZ262"/>
      <c r="BA262"/>
      <c r="BB262"/>
      <c r="BC262"/>
      <c r="BD262"/>
      <c r="DF262" s="124"/>
      <c r="DI262" s="1016" t="str">
        <f>'Données - Résidentiel'!BI193</f>
        <v>Taux rejets</v>
      </c>
      <c r="DJ262" s="1017"/>
      <c r="DK262" s="1017"/>
      <c r="DL262" s="1018"/>
    </row>
    <row r="263" spans="1:194" ht="15" customHeight="1" thickBot="1" x14ac:dyDescent="0.3">
      <c r="C263"/>
      <c r="D263"/>
      <c r="E263"/>
      <c r="F263" s="124"/>
      <c r="G263"/>
      <c r="H263"/>
      <c r="I263"/>
      <c r="J263"/>
      <c r="AZ263"/>
      <c r="BA263"/>
      <c r="BB263"/>
      <c r="BC263"/>
      <c r="BD263"/>
      <c r="DF263" s="124"/>
      <c r="DI263" s="1019">
        <f>'Données - Résidentiel'!BI194</f>
        <v>0.13</v>
      </c>
      <c r="DJ263" s="1020"/>
      <c r="DK263" s="1020"/>
      <c r="DL263" s="1021"/>
    </row>
    <row r="264" spans="1:194" ht="15" customHeight="1" x14ac:dyDescent="0.25">
      <c r="C264" s="73" t="str">
        <f>$C$260&amp;".1.1"</f>
        <v>4.1.1</v>
      </c>
      <c r="D264"/>
      <c r="E264"/>
      <c r="F264" s="124"/>
      <c r="G264"/>
      <c r="H264"/>
      <c r="I264"/>
      <c r="K264" s="175" t="str">
        <f>CONCATENATE($B$2,".",$C264,".")</f>
        <v>3.4.1.1.</v>
      </c>
      <c r="L264" s="1022" t="str">
        <f>"Tel qu'indiqué à la section "&amp;'Données - Résidentiel'!K193&amp;", le taux de rejets de "&amp;'Données - Résidentiel'!BI194*100&amp;" % aux centres de tri des matières recyclables est appliqué aux résultats obtenus."</f>
        <v>Tel qu'indiqué à la section 2.7.1.1., le taux de rejets de 13 % aux centres de tri des matières recyclables est appliqué aux résultats obtenus.</v>
      </c>
      <c r="M264" s="1022"/>
      <c r="N264" s="1022"/>
      <c r="O264" s="1022"/>
      <c r="P264" s="1022"/>
      <c r="Q264" s="1022"/>
      <c r="R264" s="1022"/>
      <c r="S264" s="1022"/>
      <c r="T264" s="1022"/>
      <c r="U264" s="1022"/>
      <c r="V264" s="1022"/>
      <c r="W264" s="1022"/>
      <c r="X264" s="1022"/>
      <c r="Y264" s="1022"/>
      <c r="Z264" s="1022"/>
      <c r="AA264" s="1022"/>
      <c r="AB264" s="1022"/>
      <c r="AC264" s="1022"/>
      <c r="AD264" s="1022"/>
      <c r="AE264" s="1022"/>
      <c r="AF264" s="1022"/>
      <c r="AG264" s="1022"/>
      <c r="AH264" s="1022"/>
      <c r="AI264" s="1022"/>
      <c r="AJ264" s="1022"/>
      <c r="AK264" s="1022"/>
      <c r="AL264" s="1022"/>
      <c r="AM264" s="1022"/>
      <c r="AN264" s="1022"/>
      <c r="AO264" s="1022"/>
      <c r="AP264" s="1022"/>
      <c r="AQ264" s="1022"/>
      <c r="AR264" s="1022"/>
      <c r="AS264" s="1022"/>
      <c r="AT264" s="1022"/>
      <c r="AU264" s="1022"/>
      <c r="AV264" s="1022"/>
      <c r="AW264" s="1022"/>
      <c r="AX264" s="1022"/>
      <c r="AY264" s="1022"/>
      <c r="AZ264" s="306"/>
      <c r="BA264"/>
      <c r="BB264"/>
      <c r="BC264"/>
      <c r="BD264"/>
      <c r="DF264" s="124"/>
    </row>
    <row r="265" spans="1:194" ht="15" customHeight="1" x14ac:dyDescent="0.25">
      <c r="C265" s="73"/>
      <c r="D265"/>
      <c r="E265"/>
      <c r="F265" s="124"/>
      <c r="G265"/>
      <c r="H265"/>
      <c r="I265"/>
      <c r="J265" s="77"/>
      <c r="L265" s="307"/>
      <c r="M265" s="307"/>
      <c r="N265" s="307"/>
      <c r="O265" s="307"/>
      <c r="P265" s="307"/>
      <c r="Q265" s="307"/>
      <c r="R265" s="307"/>
      <c r="S265" s="307"/>
      <c r="T265" s="307"/>
      <c r="U265" s="307"/>
      <c r="V265" s="307"/>
      <c r="W265" s="307"/>
      <c r="X265" s="307"/>
      <c r="Y265" s="307"/>
      <c r="Z265" s="307"/>
      <c r="AA265" s="307"/>
      <c r="AB265" s="307"/>
      <c r="AC265" s="307"/>
      <c r="AD265" s="307"/>
      <c r="AE265" s="307"/>
      <c r="AF265" s="307"/>
      <c r="AG265" s="307"/>
      <c r="AH265" s="307"/>
      <c r="AI265" s="307"/>
      <c r="AJ265" s="307"/>
      <c r="AK265" s="307"/>
      <c r="AL265" s="307"/>
      <c r="AM265" s="307"/>
      <c r="AN265" s="307"/>
      <c r="AO265" s="307"/>
      <c r="AP265" s="307"/>
      <c r="AQ265" s="307"/>
      <c r="AR265" s="307"/>
      <c r="AS265" s="307"/>
      <c r="AT265" s="307"/>
      <c r="AU265" s="307"/>
      <c r="AV265" s="307"/>
      <c r="AW265" s="307"/>
      <c r="AX265" s="307"/>
      <c r="AY265" s="307"/>
      <c r="AZ265" s="307"/>
      <c r="BA265"/>
      <c r="BB265"/>
      <c r="BC265"/>
      <c r="BD265"/>
      <c r="DF265" s="124"/>
    </row>
    <row r="266" spans="1:194" ht="15" customHeight="1" x14ac:dyDescent="0.25">
      <c r="C266" s="73" t="str">
        <f>$C$260&amp;".1.2"</f>
        <v>4.1.2</v>
      </c>
      <c r="D266"/>
      <c r="E266"/>
      <c r="F266" s="124"/>
      <c r="G266"/>
      <c r="H266"/>
      <c r="I266"/>
      <c r="K266" s="175" t="str">
        <f>CONCATENATE($B$2,".",$C266,".")</f>
        <v>3.4.1.2.</v>
      </c>
      <c r="L266" s="1022" t="str">
        <f>"Tel qu'indiqué à la section "&amp;'Données - Résidentiel'!J74&amp;", le taux de rejets de "&amp;DI168*100&amp;" % aux centres de valorisation des matières organiques est appliqué aux résultats obtenus."</f>
        <v>Tel qu'indiqué à la section 2.3.3., le taux de rejets de 4 % aux centres de valorisation des matières organiques est appliqué aux résultats obtenus.</v>
      </c>
      <c r="M266" s="1022"/>
      <c r="N266" s="1022"/>
      <c r="O266" s="1022"/>
      <c r="P266" s="1022"/>
      <c r="Q266" s="1022"/>
      <c r="R266" s="1022"/>
      <c r="S266" s="1022"/>
      <c r="T266" s="1022"/>
      <c r="U266" s="1022"/>
      <c r="V266" s="1022"/>
      <c r="W266" s="1022"/>
      <c r="X266" s="1022"/>
      <c r="Y266" s="1022"/>
      <c r="Z266" s="1022"/>
      <c r="AA266" s="1022"/>
      <c r="AB266" s="1022"/>
      <c r="AC266" s="1022"/>
      <c r="AD266" s="1022"/>
      <c r="AE266" s="1022"/>
      <c r="AF266" s="1022"/>
      <c r="AG266" s="1022"/>
      <c r="AH266" s="1022"/>
      <c r="AI266" s="1022"/>
      <c r="AJ266" s="1022"/>
      <c r="AK266" s="1022"/>
      <c r="AL266" s="1022"/>
      <c r="AM266" s="1022"/>
      <c r="AN266" s="1022"/>
      <c r="AO266" s="1022"/>
      <c r="AP266" s="1022"/>
      <c r="AQ266" s="1022"/>
      <c r="AR266" s="1022"/>
      <c r="AS266" s="1022"/>
      <c r="AT266" s="1022"/>
      <c r="AU266" s="1022"/>
      <c r="AV266" s="1022"/>
      <c r="AW266" s="1022"/>
      <c r="AX266" s="1022"/>
      <c r="AY266" s="1022"/>
      <c r="AZ266" s="1022"/>
      <c r="BA266"/>
      <c r="BB266"/>
      <c r="BC266"/>
      <c r="BD266"/>
      <c r="DF266" s="124"/>
    </row>
    <row r="267" spans="1:194" ht="15" customHeight="1" x14ac:dyDescent="0.25">
      <c r="C267"/>
      <c r="D267"/>
      <c r="E267"/>
      <c r="F267" s="124"/>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DF267" s="124"/>
    </row>
    <row r="268" spans="1:194" ht="15" customHeight="1" x14ac:dyDescent="0.25">
      <c r="A268" s="5" t="s">
        <v>22</v>
      </c>
      <c r="C268" s="73" t="str">
        <f>$C$260&amp;".2"</f>
        <v>4.2</v>
      </c>
      <c r="D268" s="73"/>
      <c r="E268" s="21"/>
      <c r="F268" s="124"/>
      <c r="G268" s="19"/>
      <c r="H268" s="19"/>
      <c r="I268" s="19"/>
      <c r="J268" s="77" t="str">
        <f>CONCATENATE($B$2,".",$C268,".")</f>
        <v>3.4.2.</v>
      </c>
      <c r="K268" s="757" t="str">
        <f>question_outil_utilisateur</f>
        <v>Quelles données souhaitez-vous utiliser dans les résultats ?</v>
      </c>
      <c r="L268" s="757"/>
      <c r="M268" s="757"/>
      <c r="N268" s="757"/>
      <c r="O268" s="757"/>
      <c r="P268" s="757"/>
      <c r="Q268" s="757"/>
      <c r="R268" s="757"/>
      <c r="S268" s="757"/>
      <c r="T268" s="757"/>
      <c r="U268" s="757"/>
      <c r="V268" s="757"/>
      <c r="W268" s="757"/>
      <c r="X268" s="757"/>
      <c r="Y268" s="757"/>
      <c r="Z268" s="757"/>
      <c r="AA268" s="757"/>
      <c r="AB268" s="759"/>
      <c r="AC268" s="759"/>
      <c r="AD268" s="759"/>
      <c r="AE268" s="759"/>
      <c r="AF268" s="759"/>
      <c r="AG268" s="759"/>
      <c r="AH268" s="759"/>
      <c r="AI268" s="759"/>
      <c r="AJ268" s="759"/>
      <c r="AK268" s="19"/>
      <c r="AL268" s="142"/>
      <c r="AM268" s="142"/>
      <c r="AN268" s="142"/>
      <c r="AO268" s="142"/>
      <c r="AP268" s="142"/>
      <c r="AQ268" s="142"/>
      <c r="AR268" s="142"/>
      <c r="AS268" s="142"/>
      <c r="AT268" s="142"/>
      <c r="AU268" s="142"/>
      <c r="AV268" s="142"/>
      <c r="AW268" s="142"/>
      <c r="AX268" s="142"/>
      <c r="AY268" s="142"/>
      <c r="AZ268" s="142"/>
      <c r="BA268" s="142"/>
      <c r="BB268" s="142"/>
      <c r="BC268" s="142"/>
      <c r="BD268"/>
      <c r="DF268" s="124"/>
    </row>
    <row r="269" spans="1:194" ht="15" customHeight="1" thickBot="1" x14ac:dyDescent="0.3">
      <c r="C269" s="73"/>
      <c r="D269" s="73"/>
      <c r="E269" s="21"/>
      <c r="F269" s="124"/>
      <c r="G269" s="19"/>
      <c r="H269" s="19"/>
      <c r="I269" s="19"/>
      <c r="J269" s="19"/>
      <c r="K269" s="19"/>
      <c r="L269" s="19"/>
      <c r="M269" s="19"/>
      <c r="N269" s="19"/>
      <c r="O269" s="19"/>
      <c r="P269" s="19"/>
      <c r="Q269" s="19"/>
      <c r="R269" s="19"/>
      <c r="S269" s="19"/>
      <c r="T269" s="19"/>
      <c r="U269" s="19"/>
      <c r="V269" s="19"/>
      <c r="W269" s="19"/>
      <c r="X269" s="19"/>
      <c r="Y269" s="21"/>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c r="DF269" s="124"/>
    </row>
    <row r="270" spans="1:194" ht="15" customHeight="1" thickBot="1" x14ac:dyDescent="0.3">
      <c r="C270" s="73" t="str">
        <f>$C$260&amp;".3"</f>
        <v>4.3</v>
      </c>
      <c r="D270" s="73" t="str">
        <f>$C$260&amp;".4"</f>
        <v>4.4</v>
      </c>
      <c r="E270" s="21"/>
      <c r="F270" s="124"/>
      <c r="G270" s="19"/>
      <c r="H270" s="19"/>
      <c r="I270" s="19"/>
      <c r="J270" s="77" t="str">
        <f>CONCATENATE($B$2,".",$C270,".")</f>
        <v>3.4.3.</v>
      </c>
      <c r="K270" s="733" t="str">
        <f>txt_outil&amp;IF(ici_utiliser_rejets=menu_utilisateur,donnees_infos,donnees_calculs)</f>
        <v>Données suggérées par l'outil - UTILISÉES DANS LES RÉSULTATS</v>
      </c>
      <c r="L270" s="733"/>
      <c r="M270" s="733"/>
      <c r="N270" s="733"/>
      <c r="O270" s="733"/>
      <c r="P270" s="733"/>
      <c r="Q270" s="733"/>
      <c r="R270" s="733"/>
      <c r="S270" s="733"/>
      <c r="T270" s="733"/>
      <c r="U270" s="733"/>
      <c r="V270" s="733"/>
      <c r="W270" s="733"/>
      <c r="X270" s="733"/>
      <c r="Y270" s="733"/>
      <c r="Z270" s="733"/>
      <c r="AA270" s="733"/>
      <c r="AB270" s="733"/>
      <c r="AC270" s="733"/>
      <c r="AD270" s="733"/>
      <c r="AE270" s="19"/>
      <c r="AF270" s="19"/>
      <c r="AG270" s="19"/>
      <c r="AH270" s="19"/>
      <c r="AI270" s="77" t="str">
        <f>CONCATENATE($B$2,".",$D270,".")</f>
        <v>3.4.4.</v>
      </c>
      <c r="AJ270" s="733" t="str">
        <f>txt_utilisateur&amp;IF(ici_utiliser_rejets=menu_utilisateur,donnees_calculs,donnees_infos)</f>
        <v xml:space="preserve">Données saisies par l'utilisateur (fournies à titre indicatif seulement) </v>
      </c>
      <c r="AK270" s="733"/>
      <c r="AL270" s="733"/>
      <c r="AM270" s="733"/>
      <c r="AN270" s="733"/>
      <c r="AO270" s="733"/>
      <c r="AP270" s="733"/>
      <c r="AQ270" s="733"/>
      <c r="AR270" s="733"/>
      <c r="AS270" s="733"/>
      <c r="AT270" s="733"/>
      <c r="AU270" s="733"/>
      <c r="AV270" s="733"/>
      <c r="AW270" s="733"/>
      <c r="AX270" s="733"/>
      <c r="AY270" s="733"/>
      <c r="AZ270" s="733"/>
      <c r="BA270" s="733"/>
      <c r="BB270" s="733"/>
      <c r="BC270" s="733"/>
      <c r="BD270"/>
      <c r="DF270" s="124"/>
      <c r="DH270" s="158"/>
      <c r="DI270" s="713"/>
      <c r="DJ270" s="714"/>
      <c r="DK270" s="714"/>
      <c r="DL270" s="714"/>
      <c r="DM270" s="714"/>
      <c r="DN270" s="714"/>
      <c r="DO270" s="714"/>
      <c r="DP270" s="714"/>
      <c r="DQ270" s="714"/>
      <c r="DR270" s="714"/>
      <c r="DS270" s="714"/>
      <c r="DT270" s="714"/>
      <c r="DU270" s="714"/>
      <c r="DV270" s="714"/>
      <c r="DW270" s="714"/>
      <c r="DX270" s="714"/>
      <c r="DY270" s="714"/>
      <c r="DZ270" s="714"/>
      <c r="EA270" s="714"/>
      <c r="EB270" s="714"/>
      <c r="EC270" s="714"/>
      <c r="ED270" s="714"/>
      <c r="EE270" s="16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row>
    <row r="271" spans="1:194" ht="15" customHeight="1" thickBot="1" x14ac:dyDescent="0.3">
      <c r="C271" s="73"/>
      <c r="D271" s="73"/>
      <c r="E271" s="21"/>
      <c r="F271" s="124"/>
      <c r="G271" s="19"/>
      <c r="H271" s="19"/>
      <c r="I271" s="19"/>
      <c r="J271" s="77"/>
      <c r="K271" s="22"/>
      <c r="L271" s="19"/>
      <c r="M271" s="19"/>
      <c r="N271" s="19"/>
      <c r="O271" s="19"/>
      <c r="P271" s="19"/>
      <c r="Q271" s="19"/>
      <c r="R271" s="19"/>
      <c r="S271" s="19"/>
      <c r="T271" s="19"/>
      <c r="U271" s="19"/>
      <c r="V271" s="19"/>
      <c r="W271" s="19"/>
      <c r="X271" s="194"/>
      <c r="Y271" s="194"/>
      <c r="Z271" s="194"/>
      <c r="AA271" s="19"/>
      <c r="AB271" s="19"/>
      <c r="AC271" s="19"/>
      <c r="AD271" s="19"/>
      <c r="AE271" s="19"/>
      <c r="AF271" s="19"/>
      <c r="AG271" s="19"/>
      <c r="AH271" s="19"/>
      <c r="AI271" s="77"/>
      <c r="AJ271" s="22"/>
      <c r="AK271" s="19"/>
      <c r="AL271" s="19"/>
      <c r="AM271" s="19"/>
      <c r="AN271" s="61"/>
      <c r="AO271" s="19"/>
      <c r="AP271" s="61"/>
      <c r="AQ271" s="19"/>
      <c r="AR271" s="19"/>
      <c r="AS271" s="19"/>
      <c r="AT271" s="19"/>
      <c r="AU271" s="19"/>
      <c r="AV271" s="19"/>
      <c r="AW271" s="19"/>
      <c r="AX271" s="19"/>
      <c r="AY271" s="61"/>
      <c r="AZ271" s="19"/>
      <c r="BA271" s="19"/>
      <c r="BB271" s="19"/>
      <c r="BC271" s="19"/>
      <c r="BD271" s="195"/>
      <c r="DF271" s="124"/>
      <c r="DH271" s="196"/>
      <c r="DI271" s="710" t="s">
        <v>488</v>
      </c>
      <c r="DJ271" s="715"/>
      <c r="DK271" s="715"/>
      <c r="DL271" s="715"/>
      <c r="DM271" s="715"/>
      <c r="DN271" s="715"/>
      <c r="DO271" s="715"/>
      <c r="DP271" s="715"/>
      <c r="DQ271" s="715"/>
      <c r="DR271" s="715"/>
      <c r="DS271" s="715"/>
      <c r="DT271" s="715"/>
      <c r="DU271" s="715"/>
      <c r="DV271" s="715"/>
      <c r="DW271" s="715"/>
      <c r="DX271" s="715"/>
      <c r="DY271" s="715"/>
      <c r="DZ271" s="715"/>
      <c r="EA271" s="715"/>
      <c r="EB271" s="715"/>
      <c r="EC271" s="715"/>
      <c r="ED271" s="715"/>
      <c r="EE271" s="197"/>
      <c r="EF271" s="195"/>
      <c r="EG271" s="200"/>
      <c r="EH271" s="201"/>
      <c r="EI271" s="201"/>
      <c r="EJ271" s="201"/>
      <c r="EK271" s="201"/>
      <c r="EL271" s="201"/>
      <c r="EM271" s="201"/>
      <c r="EN271" s="201"/>
      <c r="EO271" s="201"/>
      <c r="EP271" s="201"/>
      <c r="EQ271" s="201"/>
      <c r="ER271" s="201"/>
      <c r="ES271" s="201"/>
      <c r="ET271" s="202"/>
      <c r="EU271" s="200"/>
      <c r="EV271" s="201"/>
      <c r="EW271" s="201"/>
      <c r="EX271" s="201"/>
      <c r="EY271" s="201"/>
      <c r="EZ271" s="201"/>
      <c r="FA271" s="201"/>
      <c r="FB271" s="201"/>
      <c r="FC271" s="201"/>
      <c r="FD271" s="201"/>
      <c r="FE271" s="201"/>
      <c r="FF271" s="201"/>
      <c r="FG271" s="201"/>
      <c r="FH271" s="202"/>
      <c r="FK271" s="200"/>
      <c r="FL271" s="201"/>
      <c r="FM271" s="201"/>
      <c r="FN271" s="201"/>
      <c r="FO271" s="201"/>
      <c r="FP271" s="201"/>
      <c r="FQ271" s="201"/>
      <c r="FR271" s="201"/>
      <c r="FS271" s="201"/>
      <c r="FT271" s="201"/>
      <c r="FU271" s="201"/>
      <c r="FV271" s="201"/>
      <c r="FW271" s="201"/>
      <c r="FX271" s="202"/>
      <c r="FY271" s="200"/>
      <c r="FZ271" s="201"/>
      <c r="GA271" s="201"/>
      <c r="GB271" s="201"/>
      <c r="GC271" s="201"/>
      <c r="GD271" s="201"/>
      <c r="GE271" s="201"/>
      <c r="GF271" s="201"/>
      <c r="GG271" s="201"/>
      <c r="GH271" s="201"/>
      <c r="GI271" s="201"/>
      <c r="GJ271" s="201"/>
      <c r="GK271" s="201"/>
      <c r="GL271" s="202"/>
    </row>
    <row r="272" spans="1:194" ht="15" customHeight="1" x14ac:dyDescent="0.25">
      <c r="C272" s="72"/>
      <c r="D272" s="72"/>
      <c r="E272" s="36"/>
      <c r="F272" s="124"/>
      <c r="I272" s="26"/>
      <c r="Q272" s="715"/>
      <c r="R272" s="715"/>
      <c r="S272" s="715"/>
      <c r="T272" s="715"/>
      <c r="W272" s="710" t="s">
        <v>611</v>
      </c>
      <c r="X272" s="715"/>
      <c r="Y272" s="715"/>
      <c r="Z272" s="715"/>
      <c r="AA272" s="19"/>
      <c r="AB272" s="19"/>
      <c r="AC272" s="19"/>
      <c r="AD272" s="19"/>
      <c r="AH272" s="26"/>
      <c r="AT272" s="4"/>
      <c r="AV272" s="715" t="str">
        <f>W272</f>
        <v>Éliminé (t)</v>
      </c>
      <c r="AW272" s="715"/>
      <c r="AX272" s="715"/>
      <c r="AY272" s="715"/>
      <c r="AZ272" s="19"/>
      <c r="BA272" s="19"/>
      <c r="BB272" s="19"/>
      <c r="BC272" s="19"/>
      <c r="BD272"/>
      <c r="DF272" s="124"/>
      <c r="DH272" s="161"/>
      <c r="DI272" s="163"/>
      <c r="DJ272" s="163"/>
      <c r="DK272" s="163"/>
      <c r="DL272" s="163"/>
      <c r="DM272" s="163"/>
      <c r="DN272" s="163"/>
      <c r="DO272" s="163"/>
      <c r="DP272" s="163"/>
      <c r="DQ272"/>
      <c r="DR272"/>
      <c r="DS272"/>
      <c r="DT272"/>
      <c r="DU272" s="4"/>
      <c r="DV272" s="715" t="str">
        <f>W272</f>
        <v>Éliminé (t)</v>
      </c>
      <c r="DW272" s="715"/>
      <c r="DX272" s="715"/>
      <c r="DY272" s="715"/>
      <c r="DZ272" s="19"/>
      <c r="EA272"/>
      <c r="EB272"/>
      <c r="EC272"/>
      <c r="ED272"/>
      <c r="EE272" s="162"/>
      <c r="EF272"/>
      <c r="EG272" s="164"/>
      <c r="EH272" s="26"/>
      <c r="EJ272" s="199" t="s">
        <v>20</v>
      </c>
      <c r="EP272" s="710" t="s">
        <v>286</v>
      </c>
      <c r="EQ272" s="715"/>
      <c r="ER272" s="715"/>
      <c r="ES272" s="715"/>
      <c r="ET272" s="165"/>
      <c r="EU272" s="164"/>
      <c r="EV272" s="1004" t="s">
        <v>21</v>
      </c>
      <c r="EW272" s="1004"/>
      <c r="EX272" s="1004"/>
      <c r="EY272" s="1004"/>
      <c r="EZ272" s="1004"/>
      <c r="FA272"/>
      <c r="FB272" s="200"/>
      <c r="FC272" s="1126" t="s">
        <v>29</v>
      </c>
      <c r="FD272" s="1126"/>
      <c r="FE272" s="1126"/>
      <c r="FF272" s="1126"/>
      <c r="FG272" s="202"/>
      <c r="FH272" s="165"/>
      <c r="FK272" s="164"/>
      <c r="FL272" s="26"/>
      <c r="FN272" s="199" t="s">
        <v>659</v>
      </c>
      <c r="FT272" s="710" t="s">
        <v>286</v>
      </c>
      <c r="FU272" s="715"/>
      <c r="FV272" s="715"/>
      <c r="FW272" s="715"/>
      <c r="FX272" s="165"/>
      <c r="FY272" s="164"/>
      <c r="FZ272" s="1004" t="s">
        <v>21</v>
      </c>
      <c r="GA272" s="1004"/>
      <c r="GB272" s="1004"/>
      <c r="GC272" s="1004"/>
      <c r="GD272" s="1004"/>
      <c r="GE272"/>
      <c r="GF272" s="200"/>
      <c r="GG272" s="1126" t="s">
        <v>29</v>
      </c>
      <c r="GH272" s="1126"/>
      <c r="GI272" s="1126"/>
      <c r="GJ272" s="1126"/>
      <c r="GK272" s="202"/>
      <c r="GL272" s="165"/>
    </row>
    <row r="273" spans="3:194" ht="15" customHeight="1" x14ac:dyDescent="0.25">
      <c r="C273" s="72"/>
      <c r="D273" s="72"/>
      <c r="E273" s="36"/>
      <c r="F273" s="124"/>
      <c r="I273" s="701" t="s">
        <v>657</v>
      </c>
      <c r="J273" s="701"/>
      <c r="K273" s="701"/>
      <c r="L273" s="701"/>
      <c r="M273" s="701"/>
      <c r="N273" s="701"/>
      <c r="O273" s="701"/>
      <c r="P273" s="701"/>
      <c r="Q273" s="701"/>
      <c r="R273" s="701"/>
      <c r="S273" s="701"/>
      <c r="T273" s="701"/>
      <c r="U273" s="701"/>
      <c r="V273" s="701"/>
      <c r="W273" s="702" t="str">
        <f>IF(ici_utiliser_donnees=menu_utilisateur,FT273,EP273)</f>
        <v>N.D.</v>
      </c>
      <c r="X273" s="702"/>
      <c r="Y273" s="702"/>
      <c r="Z273" s="702"/>
      <c r="AA273" s="19"/>
      <c r="AB273" s="19"/>
      <c r="AC273" s="19"/>
      <c r="AD273" s="19"/>
      <c r="AH273" s="701" t="str">
        <f>I273</f>
        <v>Rejets du tri des matières recyclables des ICI</v>
      </c>
      <c r="AI273" s="701"/>
      <c r="AJ273" s="701"/>
      <c r="AK273" s="701"/>
      <c r="AL273" s="701"/>
      <c r="AM273" s="701"/>
      <c r="AN273" s="701"/>
      <c r="AO273" s="701"/>
      <c r="AP273" s="701"/>
      <c r="AQ273" s="701"/>
      <c r="AR273" s="701"/>
      <c r="AS273" s="701"/>
      <c r="AT273" s="701"/>
      <c r="AU273" s="701"/>
      <c r="AV273" s="722"/>
      <c r="AW273" s="722"/>
      <c r="AX273" s="722"/>
      <c r="AY273" s="722"/>
      <c r="AZ273" s="19"/>
      <c r="BA273" s="19"/>
      <c r="BB273" s="19"/>
      <c r="BC273" s="19"/>
      <c r="BD273"/>
      <c r="DF273" s="124"/>
      <c r="DH273" s="161"/>
      <c r="DI273" s="701" t="str">
        <f>I273</f>
        <v>Rejets du tri des matières recyclables des ICI</v>
      </c>
      <c r="DJ273" s="701"/>
      <c r="DK273" s="701"/>
      <c r="DL273" s="701"/>
      <c r="DM273" s="701"/>
      <c r="DN273" s="701"/>
      <c r="DO273" s="701"/>
      <c r="DP273" s="701"/>
      <c r="DQ273" s="701"/>
      <c r="DR273" s="701"/>
      <c r="DS273" s="701"/>
      <c r="DT273" s="701"/>
      <c r="DU273" s="701"/>
      <c r="DV273" s="754" t="str">
        <f>IF(ici_utiliser_rejets=menu_utilisateur,IF(OR(AV273="",AV273=N.D.),N.D.,AV273),IF(OR(ici_utiliser_rejets="",W273="",W273=N.D.),N.D.,W273))</f>
        <v>N.D.</v>
      </c>
      <c r="DW273" s="754"/>
      <c r="DX273" s="754"/>
      <c r="DY273" s="754"/>
      <c r="DZ273" s="178"/>
      <c r="EA273"/>
      <c r="EB273"/>
      <c r="EC273"/>
      <c r="ED273"/>
      <c r="EE273" s="162"/>
      <c r="EF273"/>
      <c r="EG273" s="164"/>
      <c r="EH273" s="701" t="s">
        <v>599</v>
      </c>
      <c r="EI273" s="701"/>
      <c r="EJ273" s="701"/>
      <c r="EK273" s="701"/>
      <c r="EL273" s="701"/>
      <c r="EM273" s="701"/>
      <c r="EN273" s="701"/>
      <c r="EO273" s="701"/>
      <c r="EP273" s="702" t="str">
        <f>IF(EV273=N.D.,N.D.,EV273)</f>
        <v>N.D.</v>
      </c>
      <c r="EQ273" s="702"/>
      <c r="ER273" s="702"/>
      <c r="ES273" s="702"/>
      <c r="ET273" s="165"/>
      <c r="EU273" s="164"/>
      <c r="EV273" s="1010" t="str">
        <f>IF(DS53=N.D.,N.D.,(DS53/(1-DI263))*DI263)</f>
        <v>N.D.</v>
      </c>
      <c r="EW273" s="1011"/>
      <c r="EX273" s="1011"/>
      <c r="EY273" s="1011"/>
      <c r="EZ273" s="1011"/>
      <c r="FA273"/>
      <c r="FB273" s="164"/>
      <c r="FC273" s="1002" t="s">
        <v>591</v>
      </c>
      <c r="FD273" s="1002"/>
      <c r="FE273" s="1002"/>
      <c r="FF273" s="1002"/>
      <c r="FG273" s="165"/>
      <c r="FH273" s="165"/>
      <c r="FK273" s="164"/>
      <c r="FL273" s="701" t="s">
        <v>599</v>
      </c>
      <c r="FM273" s="701"/>
      <c r="FN273" s="701"/>
      <c r="FO273" s="701"/>
      <c r="FP273" s="701"/>
      <c r="FQ273" s="701"/>
      <c r="FR273" s="701"/>
      <c r="FS273" s="701"/>
      <c r="FT273" s="702">
        <f>IF(FZ273=N.D.,N.D.,FZ273)</f>
        <v>0</v>
      </c>
      <c r="FU273" s="702"/>
      <c r="FV273" s="702"/>
      <c r="FW273" s="702"/>
      <c r="FX273" s="165"/>
      <c r="FY273" s="164"/>
      <c r="FZ273" s="1010">
        <f>IF(DS67=N.D.,N.D.,(DS67/(1-$DI$263))*$DI$263)</f>
        <v>0</v>
      </c>
      <c r="GA273" s="1011"/>
      <c r="GB273" s="1011"/>
      <c r="GC273" s="1011"/>
      <c r="GD273" s="1011"/>
      <c r="GE273"/>
      <c r="GF273" s="164"/>
      <c r="GG273" s="1002" t="s">
        <v>591</v>
      </c>
      <c r="GH273" s="1002"/>
      <c r="GI273" s="1002"/>
      <c r="GJ273" s="1002"/>
      <c r="GK273" s="165"/>
      <c r="GL273" s="165"/>
    </row>
    <row r="274" spans="3:194" ht="15" customHeight="1" thickBot="1" x14ac:dyDescent="0.3">
      <c r="C274" s="72"/>
      <c r="D274" s="72"/>
      <c r="E274" s="36"/>
      <c r="F274" s="124"/>
      <c r="I274" s="701" t="s">
        <v>656</v>
      </c>
      <c r="J274" s="701"/>
      <c r="K274" s="701"/>
      <c r="L274" s="701"/>
      <c r="M274" s="701"/>
      <c r="N274" s="701"/>
      <c r="O274" s="701"/>
      <c r="P274" s="701"/>
      <c r="Q274" s="701"/>
      <c r="R274" s="701"/>
      <c r="S274" s="701"/>
      <c r="T274" s="701"/>
      <c r="U274" s="701"/>
      <c r="V274" s="701"/>
      <c r="W274" s="702" t="str">
        <f>IF(ici_donnees_autres=menu_utilisateur,FT274,EP274)</f>
        <v>N.D.</v>
      </c>
      <c r="X274" s="702"/>
      <c r="Y274" s="702"/>
      <c r="Z274" s="702"/>
      <c r="AA274" s="19"/>
      <c r="AB274" s="19"/>
      <c r="AC274" s="19"/>
      <c r="AD274" s="19"/>
      <c r="AH274" s="701" t="str">
        <f>I274</f>
        <v>Rejets de la collecte des M.O. des ICI</v>
      </c>
      <c r="AI274" s="701"/>
      <c r="AJ274" s="701"/>
      <c r="AK274" s="701"/>
      <c r="AL274" s="701"/>
      <c r="AM274" s="701"/>
      <c r="AN274" s="701"/>
      <c r="AO274" s="701"/>
      <c r="AP274" s="701"/>
      <c r="AQ274" s="701"/>
      <c r="AR274" s="701"/>
      <c r="AS274" s="701"/>
      <c r="AT274" s="701"/>
      <c r="AU274" s="701"/>
      <c r="AV274" s="722"/>
      <c r="AW274" s="722"/>
      <c r="AX274" s="722"/>
      <c r="AY274" s="722"/>
      <c r="AZ274" s="19"/>
      <c r="BA274" s="19"/>
      <c r="BB274" s="19"/>
      <c r="BC274" s="19"/>
      <c r="BD274"/>
      <c r="DF274" s="124"/>
      <c r="DH274" s="161"/>
      <c r="DI274" s="1003" t="str">
        <f>I274</f>
        <v>Rejets de la collecte des M.O. des ICI</v>
      </c>
      <c r="DJ274" s="1003"/>
      <c r="DK274" s="1003"/>
      <c r="DL274" s="1003"/>
      <c r="DM274" s="1003"/>
      <c r="DN274" s="1003"/>
      <c r="DO274" s="1003"/>
      <c r="DP274" s="1003"/>
      <c r="DQ274" s="1003"/>
      <c r="DR274" s="1003"/>
      <c r="DS274" s="1003"/>
      <c r="DT274" s="1003"/>
      <c r="DU274" s="1003"/>
      <c r="DV274" s="754" t="str">
        <f>IF(ici_utiliser_rejets=menu_utilisateur,IF(OR(AV274="",AV274=N.D.),N.D.,AV274),IF(OR(ici_utiliser_rejets="",W274="",W274=N.D.),N.D.,W274))</f>
        <v>N.D.</v>
      </c>
      <c r="DW274" s="754"/>
      <c r="DX274" s="754"/>
      <c r="DY274" s="754"/>
      <c r="DZ274" s="204"/>
      <c r="EA274"/>
      <c r="EB274"/>
      <c r="EC274"/>
      <c r="ED274"/>
      <c r="EE274" s="162"/>
      <c r="EF274"/>
      <c r="EG274" s="164"/>
      <c r="EH274" s="691" t="s">
        <v>600</v>
      </c>
      <c r="EI274" s="691"/>
      <c r="EJ274" s="691"/>
      <c r="EK274" s="691"/>
      <c r="EL274" s="691"/>
      <c r="EM274" s="691"/>
      <c r="EN274" s="691"/>
      <c r="EO274" s="691"/>
      <c r="EP274" s="702" t="str">
        <f>IF(EV274=N.D.,N.D.,EV274)</f>
        <v>N.D.</v>
      </c>
      <c r="EQ274" s="702"/>
      <c r="ER274" s="702"/>
      <c r="ES274" s="702"/>
      <c r="ET274" s="165"/>
      <c r="EU274" s="164"/>
      <c r="EV274" s="1010" t="str">
        <f>IF(OR(EU178=N.D.,EV178=N.D.,EW178=N.D.),N.D.,EU178+EV178+EW178)</f>
        <v>N.D.</v>
      </c>
      <c r="EW274" s="1011"/>
      <c r="EX274" s="1011"/>
      <c r="EY274" s="1011"/>
      <c r="EZ274" s="1011"/>
      <c r="FA274"/>
      <c r="FB274" s="166"/>
      <c r="FC274" s="1127" t="str">
        <f>DS53</f>
        <v>N.D.</v>
      </c>
      <c r="FD274" s="1127"/>
      <c r="FE274" s="1127"/>
      <c r="FF274" s="1127"/>
      <c r="FG274" s="1128"/>
      <c r="FH274" s="165"/>
      <c r="FK274" s="164"/>
      <c r="FL274" s="691" t="s">
        <v>600</v>
      </c>
      <c r="FM274" s="691"/>
      <c r="FN274" s="691"/>
      <c r="FO274" s="691"/>
      <c r="FP274" s="691"/>
      <c r="FQ274" s="691"/>
      <c r="FR274" s="691"/>
      <c r="FS274" s="691"/>
      <c r="FT274" s="702" t="str">
        <f>IF(FZ274=N.D.,N.D.,FZ274)</f>
        <v>N.D.</v>
      </c>
      <c r="FU274" s="702"/>
      <c r="FV274" s="702"/>
      <c r="FW274" s="702"/>
      <c r="FX274" s="165"/>
      <c r="FY274" s="164"/>
      <c r="FZ274" s="1010" t="str">
        <f>IF(OR(ET197=N.D.,EU197=N.D.,EV197=N.D.),N.D.,ET197+EU197+EV197)</f>
        <v>N.D.</v>
      </c>
      <c r="GA274" s="1011"/>
      <c r="GB274" s="1011"/>
      <c r="GC274" s="1011"/>
      <c r="GD274" s="1011"/>
      <c r="GE274"/>
      <c r="GF274" s="166"/>
      <c r="GG274" s="1127">
        <f>DS67</f>
        <v>0</v>
      </c>
      <c r="GH274" s="1127"/>
      <c r="GI274" s="1127"/>
      <c r="GJ274" s="1127"/>
      <c r="GK274" s="1128"/>
      <c r="GL274" s="165"/>
    </row>
    <row r="275" spans="3:194" ht="30" customHeight="1" thickBot="1" x14ac:dyDescent="0.3">
      <c r="C275" s="72"/>
      <c r="D275" s="72"/>
      <c r="E275" s="36"/>
      <c r="F275" s="124"/>
      <c r="I275" s="1125" t="s">
        <v>681</v>
      </c>
      <c r="J275" s="1125"/>
      <c r="K275" s="1125"/>
      <c r="L275" s="1125"/>
      <c r="M275" s="1125"/>
      <c r="N275" s="1125"/>
      <c r="O275" s="1125"/>
      <c r="P275" s="1125"/>
      <c r="Q275" s="1125"/>
      <c r="R275" s="1125"/>
      <c r="S275" s="1125"/>
      <c r="T275" s="1125"/>
      <c r="U275" s="1125"/>
      <c r="V275" s="1125"/>
      <c r="W275" s="702" t="str">
        <f>IF(gen_pop_MRC="",N.D.,SUM(gen_pop_MRC*Paramètres!F123/1000,gen_pop_MRC*Paramètres!F124/1000))</f>
        <v>N.D.</v>
      </c>
      <c r="X275" s="702"/>
      <c r="Y275" s="702"/>
      <c r="Z275" s="702"/>
      <c r="AA275" s="19"/>
      <c r="AB275" s="19"/>
      <c r="AC275" s="19"/>
      <c r="AD275" s="19"/>
      <c r="AH275" s="1125" t="str">
        <f>I275</f>
        <v>Rejets des recycleurs de métaux (encombrants et véhicules hors usage)</v>
      </c>
      <c r="AI275" s="1125"/>
      <c r="AJ275" s="1125"/>
      <c r="AK275" s="1125"/>
      <c r="AL275" s="1125"/>
      <c r="AM275" s="1125"/>
      <c r="AN275" s="1125"/>
      <c r="AO275" s="1125"/>
      <c r="AP275" s="1125"/>
      <c r="AQ275" s="1125"/>
      <c r="AR275" s="1125"/>
      <c r="AS275" s="1125"/>
      <c r="AT275" s="1125"/>
      <c r="AU275" s="1125"/>
      <c r="AV275" s="722"/>
      <c r="AW275" s="722"/>
      <c r="AX275" s="722"/>
      <c r="AY275" s="722"/>
      <c r="AZ275" s="19"/>
      <c r="BA275" s="19"/>
      <c r="BB275" s="19"/>
      <c r="BC275" s="19"/>
      <c r="BD275"/>
      <c r="DF275" s="124"/>
      <c r="DH275" s="161"/>
      <c r="DI275" s="1003" t="str">
        <f>I275</f>
        <v>Rejets des recycleurs de métaux (encombrants et véhicules hors usage)</v>
      </c>
      <c r="DJ275" s="1003"/>
      <c r="DK275" s="1003"/>
      <c r="DL275" s="1003"/>
      <c r="DM275" s="1003"/>
      <c r="DN275" s="1003"/>
      <c r="DO275" s="1003"/>
      <c r="DP275" s="1003"/>
      <c r="DQ275" s="1003"/>
      <c r="DR275" s="1003"/>
      <c r="DS275" s="1003"/>
      <c r="DT275" s="1003"/>
      <c r="DU275" s="1003"/>
      <c r="DV275" s="754" t="str">
        <f>IF(ici_utiliser_rejets=menu_utilisateur,IF(OR(AV275="",AV275=N.D.),N.D.,AV275),IF(OR(ici_utiliser_rejets="",W275="",W275=N.D.),N.D.,W275))</f>
        <v>N.D.</v>
      </c>
      <c r="DW275" s="754"/>
      <c r="DX275" s="754"/>
      <c r="DY275" s="754"/>
      <c r="DZ275" s="169"/>
      <c r="EA275"/>
      <c r="EB275"/>
      <c r="EC275"/>
      <c r="ED275"/>
      <c r="EE275" s="162"/>
      <c r="EF275"/>
      <c r="EG275" s="164"/>
      <c r="EH275" s="143"/>
      <c r="EI275" s="143"/>
      <c r="EJ275" s="143"/>
      <c r="EK275" s="143"/>
      <c r="EL275" s="143"/>
      <c r="EM275" s="143"/>
      <c r="EN275" s="143"/>
      <c r="EO275" s="143"/>
      <c r="EP275" s="313"/>
      <c r="EQ275" s="313"/>
      <c r="ER275" s="313"/>
      <c r="ES275" s="313"/>
      <c r="ET275" s="165"/>
      <c r="EU275" s="164"/>
      <c r="EV275" s="314"/>
      <c r="EW275" s="315"/>
      <c r="EX275" s="315"/>
      <c r="EY275" s="315"/>
      <c r="EZ275" s="315"/>
      <c r="FA275"/>
      <c r="FB275" s="310"/>
      <c r="FC275" s="316"/>
      <c r="FD275" s="316"/>
      <c r="FE275" s="316"/>
      <c r="FF275" s="316"/>
      <c r="FG275" s="317"/>
      <c r="FH275" s="165"/>
      <c r="FK275" s="164"/>
      <c r="FL275" s="143"/>
      <c r="FM275" s="143"/>
      <c r="FN275" s="143"/>
      <c r="FO275" s="143"/>
      <c r="FP275" s="143"/>
      <c r="FQ275" s="143"/>
      <c r="FR275" s="143"/>
      <c r="FS275" s="143"/>
      <c r="FT275" s="313"/>
      <c r="FU275" s="313"/>
      <c r="FV275" s="313"/>
      <c r="FW275" s="313"/>
      <c r="FX275" s="165"/>
      <c r="FY275" s="164"/>
      <c r="FZ275" s="314"/>
      <c r="GA275" s="315"/>
      <c r="GB275" s="315"/>
      <c r="GC275" s="315"/>
      <c r="GD275" s="315"/>
      <c r="GE275"/>
      <c r="GF275" s="310"/>
      <c r="GG275" s="316"/>
      <c r="GH275" s="316"/>
      <c r="GI275" s="316"/>
      <c r="GJ275" s="316"/>
      <c r="GK275" s="317"/>
      <c r="GL275" s="165"/>
    </row>
    <row r="276" spans="3:194" ht="7.5" customHeight="1" thickBot="1" x14ac:dyDescent="0.3">
      <c r="C276" s="72"/>
      <c r="D276" s="72"/>
      <c r="E276" s="36"/>
      <c r="F276" s="124"/>
      <c r="I276"/>
      <c r="J276"/>
      <c r="K276"/>
      <c r="L276"/>
      <c r="M276"/>
      <c r="N276"/>
      <c r="O276"/>
      <c r="P276"/>
      <c r="Q276" s="19"/>
      <c r="R276" s="19"/>
      <c r="S276" s="19"/>
      <c r="T276" s="19"/>
      <c r="U276"/>
      <c r="W276"/>
      <c r="X276"/>
      <c r="Y276"/>
      <c r="Z276"/>
      <c r="AA276" s="19"/>
      <c r="AB276" s="19"/>
      <c r="AC276" s="19"/>
      <c r="AD276" s="19"/>
      <c r="AE276"/>
      <c r="AF276"/>
      <c r="AG276"/>
      <c r="AH276"/>
      <c r="AI276"/>
      <c r="AJ276"/>
      <c r="AK276"/>
      <c r="AL276"/>
      <c r="AM276"/>
      <c r="AN276"/>
      <c r="AO276"/>
      <c r="AT276"/>
      <c r="AV276"/>
      <c r="AW276"/>
      <c r="AX276"/>
      <c r="AY276"/>
      <c r="AZ276" s="19"/>
      <c r="BA276" s="19"/>
      <c r="BB276" s="19"/>
      <c r="BC276" s="19"/>
      <c r="BD276"/>
      <c r="DF276" s="124"/>
      <c r="DH276" s="161"/>
      <c r="DI276"/>
      <c r="DJ276"/>
      <c r="DK276"/>
      <c r="DL276"/>
      <c r="DM276"/>
      <c r="DN276"/>
      <c r="DO276"/>
      <c r="DP276"/>
      <c r="DQ276"/>
      <c r="DR276"/>
      <c r="DS276"/>
      <c r="DT276"/>
      <c r="DU276"/>
      <c r="DV276"/>
      <c r="DW276"/>
      <c r="DX276"/>
      <c r="DY276"/>
      <c r="DZ276"/>
      <c r="EA276"/>
      <c r="EB276"/>
      <c r="EC276"/>
      <c r="ED276"/>
      <c r="EE276" s="162"/>
      <c r="EF276"/>
      <c r="EG276" s="166"/>
      <c r="EH276" s="167"/>
      <c r="EI276" s="167"/>
      <c r="EJ276" s="167"/>
      <c r="EK276" s="167"/>
      <c r="EL276" s="167"/>
      <c r="EM276" s="167"/>
      <c r="EN276" s="167"/>
      <c r="EO276" s="167"/>
      <c r="EP276" s="167"/>
      <c r="EQ276" s="167"/>
      <c r="ER276" s="167"/>
      <c r="ES276" s="167"/>
      <c r="ET276" s="168"/>
      <c r="EU276" s="166"/>
      <c r="EV276" s="167"/>
      <c r="EW276" s="167"/>
      <c r="EX276" s="167"/>
      <c r="EY276" s="167"/>
      <c r="EZ276" s="167"/>
      <c r="FA276" s="167"/>
      <c r="FB276" s="166"/>
      <c r="FC276" s="167"/>
      <c r="FD276" s="167"/>
      <c r="FE276" s="167"/>
      <c r="FF276" s="167"/>
      <c r="FG276" s="168"/>
      <c r="FH276" s="168"/>
      <c r="FI276"/>
      <c r="FJ276"/>
      <c r="FK276" s="166"/>
      <c r="FL276" s="167"/>
      <c r="FM276" s="167"/>
      <c r="FN276" s="167"/>
      <c r="FO276" s="167"/>
      <c r="FP276" s="167"/>
      <c r="FQ276" s="167"/>
      <c r="FR276" s="167"/>
      <c r="FS276" s="167"/>
      <c r="FT276" s="167"/>
      <c r="FU276" s="167"/>
      <c r="FV276" s="167"/>
      <c r="FW276" s="167"/>
      <c r="FX276" s="168"/>
      <c r="FY276" s="166"/>
      <c r="FZ276" s="167"/>
      <c r="GA276" s="167"/>
      <c r="GB276" s="167"/>
      <c r="GC276" s="167"/>
      <c r="GD276" s="167"/>
      <c r="GE276" s="167"/>
      <c r="GF276" s="166"/>
      <c r="GG276" s="167"/>
      <c r="GH276" s="167"/>
      <c r="GI276" s="167"/>
      <c r="GJ276" s="167"/>
      <c r="GK276" s="168"/>
      <c r="GL276" s="168"/>
    </row>
    <row r="277" spans="3:194" ht="15" customHeight="1" x14ac:dyDescent="0.25">
      <c r="C277" s="72"/>
      <c r="D277" s="72"/>
      <c r="E277" s="36"/>
      <c r="F277" s="124"/>
      <c r="I277" s="691" t="s">
        <v>276</v>
      </c>
      <c r="J277" s="691"/>
      <c r="K277" s="691"/>
      <c r="L277" s="691"/>
      <c r="M277" s="691"/>
      <c r="N277" s="691"/>
      <c r="O277" s="691"/>
      <c r="P277" s="691"/>
      <c r="Q277" s="49"/>
      <c r="R277" s="49"/>
      <c r="S277" s="49"/>
      <c r="T277" s="49"/>
      <c r="U277" s="203"/>
      <c r="V277" s="31"/>
      <c r="W277" s="743" t="str">
        <f>IF(COUNTIF(W273:W275,N.D.)&gt;0,N.D.,SUM(W273:W275))</f>
        <v>N.D.</v>
      </c>
      <c r="X277" s="743"/>
      <c r="Y277" s="743"/>
      <c r="Z277" s="743"/>
      <c r="AA277" s="19"/>
      <c r="AB277" s="19"/>
      <c r="AC277" s="19"/>
      <c r="AD277" s="19"/>
      <c r="AH277" s="778" t="str">
        <f>I277</f>
        <v>Total</v>
      </c>
      <c r="AI277" s="778"/>
      <c r="AJ277" s="778"/>
      <c r="AK277" s="778"/>
      <c r="AL277" s="778"/>
      <c r="AM277" s="778"/>
      <c r="AN277" s="778"/>
      <c r="AO277" s="778"/>
      <c r="AP277" s="31"/>
      <c r="AQ277" s="31"/>
      <c r="AR277" s="31"/>
      <c r="AS277" s="31"/>
      <c r="AT277" s="64"/>
      <c r="AU277" s="31"/>
      <c r="AV277" s="765" t="str">
        <f>IF(COUNTA(AV273:AV275)=0,"",IF(AND(ici_utiliser_rejets=menu_utilisateur,COUNTBLANK(AV273:AV275)&gt;0),N.D.,SUM(AV273:AV275)))</f>
        <v/>
      </c>
      <c r="AW277" s="765"/>
      <c r="AX277" s="765"/>
      <c r="AY277" s="765"/>
      <c r="AZ277" s="19"/>
      <c r="BA277" s="19"/>
      <c r="BB277" s="19"/>
      <c r="BC277" s="19"/>
      <c r="BD277"/>
      <c r="DF277" s="124"/>
      <c r="DH277" s="161"/>
      <c r="DI277" s="730" t="str">
        <f>I277</f>
        <v>Total</v>
      </c>
      <c r="DJ277" s="730"/>
      <c r="DK277" s="730"/>
      <c r="DL277" s="730"/>
      <c r="DM277" s="730"/>
      <c r="DN277" s="730"/>
      <c r="DO277" s="730"/>
      <c r="DP277" s="730"/>
      <c r="DQ277" s="173"/>
      <c r="DR277" s="173"/>
      <c r="DS277" s="173"/>
      <c r="DT277" s="173"/>
      <c r="DU277" s="193"/>
      <c r="DV277" s="743" t="str">
        <f>IF(COUNTIF(DV273:DV275,N.D.)&gt;0,N.D.,SUM(DV273:DV275))</f>
        <v>N.D.</v>
      </c>
      <c r="DW277" s="743"/>
      <c r="DX277" s="743"/>
      <c r="DY277" s="743"/>
      <c r="DZ277" s="193"/>
      <c r="EA277"/>
      <c r="EB277"/>
      <c r="EC277"/>
      <c r="ED277"/>
      <c r="EE277" s="162"/>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row>
    <row r="278" spans="3:194" ht="15" customHeight="1" thickBot="1" x14ac:dyDescent="0.3">
      <c r="C278"/>
      <c r="D278"/>
      <c r="E278"/>
      <c r="F278" s="124"/>
      <c r="G278"/>
      <c r="H278"/>
      <c r="I278" s="770" t="str">
        <f>IF(OR(Q277=N.D.,W277=N.D.),N.D.,"")</f>
        <v>N.D.</v>
      </c>
      <c r="J278" s="770"/>
      <c r="K278" s="735" t="str">
        <f>IF(I278=N.D.,txt_N.D.&amp;I5&amp;" ou "&amp;I104,"")</f>
        <v>Non disponible : vérifiez les données à la question 3.1. ou 3.2.</v>
      </c>
      <c r="L278" s="735"/>
      <c r="M278" s="735"/>
      <c r="N278" s="735"/>
      <c r="O278" s="735"/>
      <c r="P278" s="735"/>
      <c r="Q278" s="735"/>
      <c r="R278" s="735"/>
      <c r="S278" s="735"/>
      <c r="T278" s="735"/>
      <c r="U278" s="735"/>
      <c r="V278" s="735"/>
      <c r="W278" s="735"/>
      <c r="X278" s="735"/>
      <c r="Y278" s="735"/>
      <c r="Z278" s="735"/>
      <c r="AA278" s="758"/>
      <c r="AB278" s="758"/>
      <c r="AC278" s="758"/>
      <c r="AD278" s="758"/>
      <c r="AH278" s="94" t="str">
        <f>IF((COUNTIF(AP268:AP271,"")+(COUNTIF(AU268:AU271,"")))=0,"plein","vide")</f>
        <v>vide</v>
      </c>
      <c r="AZ278" s="19"/>
      <c r="BA278" s="19"/>
      <c r="BB278" s="19"/>
      <c r="BC278" s="19"/>
      <c r="BD278"/>
      <c r="DF278" s="124"/>
      <c r="DH278" s="166"/>
      <c r="DI278" s="167"/>
      <c r="DJ278" s="167"/>
      <c r="DK278" s="167"/>
      <c r="DL278" s="167"/>
      <c r="DM278" s="167"/>
      <c r="DN278" s="167"/>
      <c r="DO278" s="167"/>
      <c r="DP278" s="167"/>
      <c r="DQ278" s="167"/>
      <c r="DR278" s="167"/>
      <c r="DS278" s="167"/>
      <c r="DT278" s="167"/>
      <c r="DU278" s="167"/>
      <c r="DV278" s="167"/>
      <c r="DW278" s="167"/>
      <c r="DX278" s="167"/>
      <c r="DY278" s="167"/>
      <c r="DZ278" s="167"/>
      <c r="EA278" s="167"/>
      <c r="EB278" s="167"/>
      <c r="EC278" s="167"/>
      <c r="ED278" s="167"/>
      <c r="EE278" s="16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row>
    <row r="279" spans="3:194" ht="15" customHeight="1" x14ac:dyDescent="0.25">
      <c r="C279"/>
      <c r="D279"/>
      <c r="E279"/>
      <c r="F279" s="124"/>
      <c r="G279"/>
      <c r="H279"/>
      <c r="I279"/>
      <c r="J279"/>
      <c r="K279"/>
      <c r="L279"/>
      <c r="M279"/>
      <c r="N279"/>
      <c r="O279"/>
      <c r="P279"/>
      <c r="Q279"/>
      <c r="R279"/>
      <c r="S279"/>
      <c r="T279"/>
      <c r="U279"/>
      <c r="V279"/>
      <c r="AA279"/>
      <c r="AB279"/>
      <c r="AC279"/>
      <c r="AD279"/>
      <c r="AG279" s="767" t="str">
        <f>txt_aide</f>
        <v>Aide à la validation des données :</v>
      </c>
      <c r="AH279" s="767"/>
      <c r="AI279" s="767"/>
      <c r="AJ279" s="767"/>
      <c r="AK279" s="767"/>
      <c r="AL279" s="767"/>
      <c r="AM279" s="767"/>
      <c r="AN279" s="767"/>
      <c r="AO279" s="767"/>
      <c r="AP279" s="767"/>
      <c r="AQ279" s="767"/>
      <c r="AR279" s="31"/>
      <c r="AS279" s="31"/>
      <c r="AT279" s="97"/>
      <c r="AU279" s="31"/>
      <c r="AV279" s="764" t="str">
        <f>IF(OR(W277=N.D.,AV277="",AV277=N.D.),N.D.,IF(AND(W277=0,AV277=0),0,IF(OR(W277=0,AV277=0),N.A.,IF(AV277&lt;W277,(W277-AV277)/AV277,(AV277-W277)/W277))))</f>
        <v>N.D.</v>
      </c>
      <c r="AW279" s="764"/>
      <c r="AX279" s="764"/>
      <c r="AY279" s="764"/>
      <c r="AZ279" s="19"/>
      <c r="BA279" s="19"/>
      <c r="BB279" s="19"/>
      <c r="BC279" s="19"/>
      <c r="BD279"/>
      <c r="DF279" s="124"/>
      <c r="DO279" s="158"/>
      <c r="DP279" s="159"/>
      <c r="DQ279" s="159"/>
      <c r="DR279" s="159"/>
      <c r="DS279" s="159"/>
      <c r="DT279" s="159"/>
      <c r="DU279" s="159"/>
      <c r="DV279" s="159"/>
      <c r="DW279" s="159"/>
      <c r="DX279" s="159"/>
      <c r="DY279" s="160"/>
      <c r="EB279" s="158"/>
      <c r="EC279" s="159"/>
      <c r="ED279" s="159"/>
      <c r="EE279" s="159"/>
      <c r="EF279" s="159"/>
      <c r="EG279" s="159"/>
      <c r="EH279" s="159"/>
      <c r="EI279" s="159"/>
      <c r="EJ279" s="159"/>
      <c r="EK279" s="159"/>
      <c r="EL279" s="160"/>
      <c r="EM279" s="319"/>
      <c r="EN279" s="107"/>
      <c r="EO279" s="107"/>
      <c r="EP279" s="107"/>
      <c r="EQ279" s="107"/>
      <c r="ER279" s="107"/>
      <c r="ES279" s="320"/>
      <c r="FJ279" s="195"/>
      <c r="FK279" s="195"/>
      <c r="FL279" s="195"/>
      <c r="FM279" s="195"/>
      <c r="FN279" s="195"/>
    </row>
    <row r="280" spans="3:194" ht="15" customHeight="1" x14ac:dyDescent="0.25">
      <c r="C280"/>
      <c r="D280"/>
      <c r="E280"/>
      <c r="F280" s="124"/>
      <c r="G280"/>
      <c r="H280"/>
      <c r="I280"/>
      <c r="J280"/>
      <c r="K280"/>
      <c r="L280"/>
      <c r="M280"/>
      <c r="N280"/>
      <c r="O280"/>
      <c r="P280"/>
      <c r="Q280"/>
      <c r="R280"/>
      <c r="S280"/>
      <c r="T280"/>
      <c r="U280"/>
      <c r="V280"/>
      <c r="AA280"/>
      <c r="AB280"/>
      <c r="AC280"/>
      <c r="AD280"/>
      <c r="AH280" s="115" t="str">
        <f>IF(ici_utiliser_rejets&lt;&gt;menu_outil,IF(AV279=N.D.,N.D.,""),"")</f>
        <v>N.D.</v>
      </c>
      <c r="AI280" s="3" t="str">
        <f>puce1</f>
        <v>Ä</v>
      </c>
      <c r="AJ280" s="735" t="str">
        <f>IF(ici_utiliser_rejets=menu_outil,txt_validation,IF(I278=N.D.,IF(AV279=N.D.,K278,""),IF(AH280=N.D.,txt_N.D.&amp;AI270,"")))</f>
        <v>Non disponible : vérifiez les données à la question 3.1. ou 3.2.</v>
      </c>
      <c r="AK280" s="735"/>
      <c r="AL280" s="735"/>
      <c r="AM280" s="735"/>
      <c r="AN280" s="735"/>
      <c r="AO280" s="735"/>
      <c r="AP280" s="735"/>
      <c r="AQ280" s="735"/>
      <c r="AR280" s="735"/>
      <c r="AS280" s="735"/>
      <c r="AT280" s="735"/>
      <c r="AU280" s="735"/>
      <c r="AV280" s="735"/>
      <c r="AW280" s="735"/>
      <c r="AX280" s="735"/>
      <c r="AY280" s="735"/>
      <c r="AZ280" s="758"/>
      <c r="BA280" s="758"/>
      <c r="BB280" s="758"/>
      <c r="BC280" s="758"/>
      <c r="BD280"/>
      <c r="DF280" s="124"/>
      <c r="DI280" s="1004" t="str">
        <f>Paramètres!$H$80*100&amp;" % éliminé"</f>
        <v>3,82 % éliminé</v>
      </c>
      <c r="DJ280" s="1004"/>
      <c r="DK280" s="1004"/>
      <c r="DL280" s="1004"/>
      <c r="DM280" s="1004"/>
      <c r="DO280" s="164"/>
      <c r="DP280" s="1002" t="s">
        <v>590</v>
      </c>
      <c r="DQ280" s="1002"/>
      <c r="DR280" s="1002"/>
      <c r="DS280" s="1002"/>
      <c r="DT280" s="1002"/>
      <c r="DU280" s="1002"/>
      <c r="DV280" s="1002"/>
      <c r="DW280" s="1002"/>
      <c r="DX280" s="1002"/>
      <c r="DY280" s="165"/>
      <c r="EB280" s="164"/>
      <c r="EC280" s="1002" t="s">
        <v>648</v>
      </c>
      <c r="ED280" s="1002"/>
      <c r="EE280" s="1002"/>
      <c r="EF280" s="1002"/>
      <c r="EG280" s="1002"/>
      <c r="EH280" s="1002"/>
      <c r="EI280" s="1002"/>
      <c r="EJ280" s="1002"/>
      <c r="EK280" s="1002"/>
      <c r="EL280" s="165"/>
      <c r="EM280" s="57"/>
      <c r="EN280" s="1004" t="str">
        <f>Paramètres!$H$80*100&amp;" % éliminé - Outil"</f>
        <v>3,82 % éliminé - Outil</v>
      </c>
      <c r="EO280" s="1004"/>
      <c r="EP280" s="1004"/>
      <c r="EQ280" s="1004"/>
      <c r="ER280" s="1004"/>
      <c r="ES280" s="27"/>
    </row>
    <row r="281" spans="3:194" ht="15" customHeight="1" x14ac:dyDescent="0.25">
      <c r="C281"/>
      <c r="D281"/>
      <c r="E281"/>
      <c r="F281" s="124"/>
      <c r="G281"/>
      <c r="I281"/>
      <c r="J281"/>
      <c r="K281"/>
      <c r="L281"/>
      <c r="M281"/>
      <c r="N281"/>
      <c r="O281"/>
      <c r="P281"/>
      <c r="Q281"/>
      <c r="R281"/>
      <c r="S281"/>
      <c r="T281"/>
      <c r="U281"/>
      <c r="V281"/>
      <c r="AH281" s="117" t="str">
        <f>IF(ici_utiliser_rejets&lt;&gt;menu_outil,IF(AV279=N.A.,N.A.,""),"")</f>
        <v/>
      </c>
      <c r="AI281" s="87"/>
      <c r="AJ281" s="766" t="str">
        <f>IF(AH281=N.A.,txt_N.A.,"")</f>
        <v/>
      </c>
      <c r="AK281" s="766"/>
      <c r="AL281" s="766"/>
      <c r="AM281" s="766"/>
      <c r="AN281" s="766"/>
      <c r="AO281" s="766"/>
      <c r="AP281" s="766"/>
      <c r="AQ281" s="766"/>
      <c r="AR281" s="766"/>
      <c r="AS281" s="766"/>
      <c r="AT281" s="766"/>
      <c r="AU281" s="766"/>
      <c r="AV281" s="766"/>
      <c r="AW281" s="766"/>
      <c r="AX281" s="766"/>
      <c r="AY281" s="766"/>
      <c r="AZ281" s="766"/>
      <c r="BA281" s="766"/>
      <c r="BB281" s="766"/>
      <c r="BC281" s="766"/>
      <c r="BD281"/>
      <c r="DF281" s="124"/>
      <c r="DI281"/>
      <c r="DJ281"/>
      <c r="DK281"/>
      <c r="DL281"/>
      <c r="DM281"/>
      <c r="DN281"/>
      <c r="DO281" s="164"/>
      <c r="DP281" s="999" t="s">
        <v>18</v>
      </c>
      <c r="DQ281" s="999"/>
      <c r="DR281" s="999"/>
      <c r="DS281" s="999"/>
      <c r="DT281" s="999"/>
      <c r="DU281" s="702" t="str">
        <f>DX91</f>
        <v>N.D.</v>
      </c>
      <c r="DV281" s="702"/>
      <c r="DW281" s="702"/>
      <c r="DX281" s="702"/>
      <c r="DY281" s="165"/>
      <c r="EB281" s="164"/>
      <c r="EC281" s="999" t="s">
        <v>18</v>
      </c>
      <c r="ED281" s="999"/>
      <c r="EE281" s="999"/>
      <c r="EF281" s="999"/>
      <c r="EG281" s="999"/>
      <c r="EH281" s="702" t="str">
        <f>DX53</f>
        <v>N.D.</v>
      </c>
      <c r="EI281" s="702"/>
      <c r="EJ281" s="702"/>
      <c r="EK281" s="702"/>
      <c r="EL281" s="165"/>
      <c r="EM281" s="57"/>
      <c r="EN281"/>
      <c r="EO281"/>
      <c r="EP281"/>
      <c r="EQ281"/>
      <c r="ER281"/>
      <c r="ES281" s="27"/>
    </row>
    <row r="282" spans="3:194" ht="15" customHeight="1" x14ac:dyDescent="0.25">
      <c r="C282"/>
      <c r="D282"/>
      <c r="E282"/>
      <c r="F282" s="124"/>
      <c r="G282"/>
      <c r="V282"/>
      <c r="AA282"/>
      <c r="AB282"/>
      <c r="AC282"/>
      <c r="AD282"/>
      <c r="AJ282" s="766"/>
      <c r="AK282" s="766"/>
      <c r="AL282" s="766"/>
      <c r="AM282" s="766"/>
      <c r="AN282" s="766"/>
      <c r="AO282" s="766"/>
      <c r="AP282" s="766"/>
      <c r="AQ282" s="766"/>
      <c r="AR282" s="766"/>
      <c r="AS282" s="766"/>
      <c r="AT282" s="766"/>
      <c r="AU282" s="766"/>
      <c r="AV282" s="766"/>
      <c r="AW282" s="766"/>
      <c r="AX282" s="766"/>
      <c r="AY282" s="766"/>
      <c r="AZ282" s="766"/>
      <c r="BA282" s="766"/>
      <c r="BB282" s="766"/>
      <c r="BC282" s="766"/>
      <c r="BD282"/>
      <c r="DF282" s="124"/>
      <c r="DI282" s="1010" t="str">
        <f>IF(COUNTIF(DU281:DU283,N.D.)&gt;0,N.D.,SUM(DU281:DU283)*Paramètres!$H$80)</f>
        <v>N.D.</v>
      </c>
      <c r="DJ282" s="1011"/>
      <c r="DK282" s="1011"/>
      <c r="DL282" s="1011"/>
      <c r="DM282" s="1011"/>
      <c r="DO282" s="164"/>
      <c r="DP282" s="999" t="s">
        <v>605</v>
      </c>
      <c r="DQ282" s="999"/>
      <c r="DR282" s="999"/>
      <c r="DS282" s="999"/>
      <c r="DT282" s="999"/>
      <c r="DU282" s="702" t="str">
        <f>EF137</f>
        <v>N.D.</v>
      </c>
      <c r="DV282" s="702"/>
      <c r="DW282" s="702"/>
      <c r="DX282" s="702"/>
      <c r="DY282" s="165"/>
      <c r="EB282" s="164"/>
      <c r="EC282" s="999" t="s">
        <v>605</v>
      </c>
      <c r="ED282" s="999"/>
      <c r="EE282" s="999"/>
      <c r="EF282" s="999"/>
      <c r="EG282" s="999"/>
      <c r="EH282" s="702" t="str">
        <f>EF117</f>
        <v>N.D.</v>
      </c>
      <c r="EI282" s="702"/>
      <c r="EJ282" s="702"/>
      <c r="EK282" s="702"/>
      <c r="EL282" s="165"/>
      <c r="EM282" s="57"/>
      <c r="EN282" s="1010" t="str">
        <f>IF(COUNTIF(EH281:EH283,N.D.)&gt;0,N.D.,SUM(EH281:EH283)*Paramètres!$H$80)</f>
        <v>N.D.</v>
      </c>
      <c r="EO282" s="1011"/>
      <c r="EP282" s="1011"/>
      <c r="EQ282" s="1011"/>
      <c r="ER282" s="1011"/>
      <c r="ES282" s="165"/>
      <c r="FJ282"/>
      <c r="FK282"/>
      <c r="FL282"/>
      <c r="FM282"/>
      <c r="FN282"/>
    </row>
    <row r="283" spans="3:194" ht="15" customHeight="1" x14ac:dyDescent="0.25">
      <c r="F283" s="124"/>
      <c r="DF283" s="124"/>
      <c r="DO283" s="164"/>
      <c r="DP283" s="999" t="s">
        <v>606</v>
      </c>
      <c r="DQ283" s="999"/>
      <c r="DR283" s="999"/>
      <c r="DS283" s="999"/>
      <c r="DT283" s="999"/>
      <c r="DU283" s="702" t="str">
        <f>IF(OR(DX206=N.D.,EB206=N.D.,EF206=N.D.),N.D.,DX206+EB206+EF206)</f>
        <v>N.D.</v>
      </c>
      <c r="DV283" s="702"/>
      <c r="DW283" s="702"/>
      <c r="DX283" s="702"/>
      <c r="DY283" s="165"/>
      <c r="EB283" s="164"/>
      <c r="EC283" s="999" t="s">
        <v>606</v>
      </c>
      <c r="ED283" s="999"/>
      <c r="EE283" s="999"/>
      <c r="EF283" s="999"/>
      <c r="EG283" s="999"/>
      <c r="EH283" s="702" t="str">
        <f>IF(OR(DX185=N.D.,EB185=N.D.,EF185=N.D.),N.D.,DX185+EB185+EF185)</f>
        <v>N.D.</v>
      </c>
      <c r="EI283" s="702"/>
      <c r="EJ283" s="702"/>
      <c r="EK283" s="702"/>
      <c r="EL283" s="165"/>
      <c r="EM283" s="57"/>
      <c r="ES283" s="27"/>
      <c r="FJ283"/>
      <c r="FK283"/>
      <c r="FL283"/>
      <c r="FM283"/>
      <c r="FN283"/>
    </row>
    <row r="284" spans="3:194" ht="5.25" customHeight="1" thickBot="1" x14ac:dyDescent="0.3">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4"/>
      <c r="BR284" s="124"/>
      <c r="BS284" s="124"/>
      <c r="BT284" s="124"/>
      <c r="BU284" s="124"/>
      <c r="BV284" s="124"/>
      <c r="BW284" s="124"/>
      <c r="BX284" s="124"/>
      <c r="BY284" s="124"/>
      <c r="BZ284" s="124"/>
      <c r="CA284" s="124"/>
      <c r="CB284" s="124"/>
      <c r="CC284" s="124"/>
      <c r="CD284" s="124"/>
      <c r="CE284" s="124"/>
      <c r="CF284" s="124"/>
      <c r="CG284" s="124"/>
      <c r="CH284" s="124"/>
      <c r="CI284" s="124"/>
      <c r="CJ284" s="124"/>
      <c r="CK284" s="124"/>
      <c r="CL284" s="124"/>
      <c r="CM284" s="124"/>
      <c r="CN284" s="124"/>
      <c r="CO284" s="124"/>
      <c r="CP284" s="124"/>
      <c r="CQ284" s="124"/>
      <c r="CR284" s="124"/>
      <c r="CS284" s="124"/>
      <c r="CT284" s="124"/>
      <c r="CU284" s="124"/>
      <c r="CV284" s="124"/>
      <c r="CW284" s="124"/>
      <c r="CX284" s="124"/>
      <c r="CY284" s="124"/>
      <c r="CZ284" s="124"/>
      <c r="DA284" s="124"/>
      <c r="DB284" s="124"/>
      <c r="DC284" s="124"/>
      <c r="DD284" s="124"/>
      <c r="DE284" s="124"/>
      <c r="DF284" s="124"/>
      <c r="DO284" s="166"/>
      <c r="DP284" s="167"/>
      <c r="DQ284" s="167"/>
      <c r="DR284" s="167"/>
      <c r="DS284" s="167"/>
      <c r="DT284" s="167"/>
      <c r="DU284" s="167"/>
      <c r="DV284" s="167"/>
      <c r="DW284" s="167"/>
      <c r="DX284" s="167"/>
      <c r="DY284" s="168"/>
      <c r="EB284" s="166"/>
      <c r="EC284" s="167"/>
      <c r="ED284" s="167"/>
      <c r="EE284" s="167"/>
      <c r="EF284" s="167"/>
      <c r="EG284" s="167"/>
      <c r="EH284" s="167"/>
      <c r="EI284" s="167"/>
      <c r="EJ284" s="167"/>
      <c r="EK284" s="167"/>
      <c r="EL284" s="168"/>
      <c r="EM284" s="321"/>
      <c r="EN284" s="322"/>
      <c r="EO284" s="322"/>
      <c r="EP284" s="322"/>
      <c r="EQ284" s="322"/>
      <c r="ER284" s="322"/>
      <c r="ES284" s="323"/>
      <c r="FJ284"/>
      <c r="FK284"/>
      <c r="FL284"/>
      <c r="FM284"/>
      <c r="FN284"/>
    </row>
    <row r="285" spans="3:194" ht="15" customHeight="1" x14ac:dyDescent="0.25">
      <c r="G285" s="78"/>
      <c r="H285" s="78"/>
      <c r="I285" s="78"/>
      <c r="J285" s="78"/>
      <c r="K285" s="78"/>
      <c r="L285" s="78"/>
      <c r="M285" s="78"/>
      <c r="N285" s="78"/>
      <c r="O285" s="78"/>
      <c r="P285" s="78"/>
      <c r="Q285" s="78"/>
      <c r="R285" s="78"/>
      <c r="S285" s="78"/>
      <c r="T285" s="78"/>
      <c r="U285" s="78"/>
      <c r="V285" s="78"/>
      <c r="W285" s="78"/>
      <c r="X285" s="78"/>
      <c r="Y285" s="78"/>
      <c r="Z285" s="78"/>
      <c r="AA285" s="78"/>
      <c r="AB285" s="78"/>
      <c r="AC285" s="78"/>
      <c r="AD285" s="78"/>
    </row>
    <row r="286" spans="3:194" ht="15" customHeight="1" x14ac:dyDescent="0.25">
      <c r="H286" s="12" t="s">
        <v>337</v>
      </c>
      <c r="DI286"/>
      <c r="DJ286"/>
      <c r="DK286"/>
      <c r="DL286"/>
      <c r="DM286"/>
      <c r="DN286"/>
      <c r="DO286"/>
    </row>
    <row r="287" spans="3:194" ht="15" customHeight="1" x14ac:dyDescent="0.25">
      <c r="H287" s="850" t="str">
        <f>Sources!C5</f>
        <v>Année de la source</v>
      </c>
      <c r="I287" s="850"/>
      <c r="J287" s="850"/>
      <c r="K287" s="850"/>
      <c r="L287" s="850"/>
      <c r="M287" s="850"/>
      <c r="N287" s="14"/>
      <c r="O287" s="850" t="str">
        <f>Sources!J5</f>
        <v>Auteur</v>
      </c>
      <c r="P287" s="850"/>
      <c r="Q287" s="850"/>
      <c r="R287" s="850"/>
      <c r="S287" s="850"/>
      <c r="T287" s="850"/>
      <c r="U287" s="850"/>
      <c r="V287" s="850"/>
      <c r="W287" s="850"/>
      <c r="X287" s="850"/>
      <c r="Y287" s="850"/>
      <c r="Z287" s="850"/>
      <c r="AA287" s="850"/>
      <c r="AB287" s="850"/>
      <c r="AC287" s="14"/>
      <c r="AD287" s="850" t="str">
        <f>Sources!Y5</f>
        <v>Titre</v>
      </c>
      <c r="AE287" s="850"/>
      <c r="AF287" s="850"/>
      <c r="AG287" s="850"/>
      <c r="AH287" s="850"/>
      <c r="AI287" s="850"/>
      <c r="AJ287" s="850"/>
      <c r="AK287" s="850"/>
      <c r="AL287" s="850"/>
      <c r="AM287" s="850"/>
      <c r="AN287" s="850"/>
      <c r="AO287" s="850"/>
      <c r="AP287" s="850"/>
      <c r="AQ287" s="850"/>
      <c r="AR287" s="850"/>
      <c r="AS287" s="850"/>
      <c r="AT287" s="850"/>
      <c r="AU287" s="14"/>
      <c r="AV287" s="850" t="str">
        <f>Sources!AQ5</f>
        <v>Utilisées dans la section :</v>
      </c>
      <c r="AW287" s="850"/>
      <c r="AX287" s="850"/>
      <c r="AY287" s="850"/>
      <c r="AZ287" s="850"/>
      <c r="BA287" s="850"/>
      <c r="BB287" s="850"/>
      <c r="BC287" s="850"/>
      <c r="BD287" s="87"/>
    </row>
    <row r="288" spans="3:194" ht="15" customHeight="1" x14ac:dyDescent="0.25">
      <c r="H288" s="848"/>
      <c r="I288" s="848"/>
      <c r="J288" s="848"/>
      <c r="K288" s="848"/>
      <c r="L288" s="848"/>
      <c r="M288" s="848"/>
      <c r="N288" s="14"/>
      <c r="O288" s="849"/>
      <c r="P288" s="849"/>
      <c r="Q288" s="849"/>
      <c r="R288" s="849"/>
      <c r="S288" s="849"/>
      <c r="T288" s="849"/>
      <c r="U288" s="849"/>
      <c r="V288" s="849"/>
      <c r="W288" s="849"/>
      <c r="X288" s="849"/>
      <c r="Y288" s="849"/>
      <c r="Z288" s="849"/>
      <c r="AA288" s="849"/>
      <c r="AB288" s="849"/>
      <c r="AC288" s="14"/>
      <c r="AD288" s="849"/>
      <c r="AE288" s="849"/>
      <c r="AF288" s="849"/>
      <c r="AG288" s="849"/>
      <c r="AH288" s="849"/>
      <c r="AI288" s="849"/>
      <c r="AJ288" s="849"/>
      <c r="AK288" s="849"/>
      <c r="AL288" s="849"/>
      <c r="AM288" s="849"/>
      <c r="AN288" s="849"/>
      <c r="AO288" s="849"/>
      <c r="AP288" s="849"/>
      <c r="AQ288" s="849"/>
      <c r="AR288" s="849"/>
      <c r="AS288" s="849"/>
      <c r="AT288" s="849"/>
      <c r="AU288" s="14"/>
      <c r="AV288" s="849"/>
      <c r="AW288" s="849"/>
      <c r="AX288" s="849"/>
      <c r="AY288" s="849"/>
      <c r="AZ288" s="849"/>
      <c r="BA288" s="849"/>
      <c r="BB288" s="849"/>
      <c r="BC288" s="849"/>
    </row>
    <row r="289" spans="8:119" ht="15" customHeight="1" x14ac:dyDescent="0.25">
      <c r="H289" s="848"/>
      <c r="I289" s="848"/>
      <c r="J289" s="848"/>
      <c r="K289" s="848"/>
      <c r="L289" s="848"/>
      <c r="M289" s="848"/>
      <c r="N289" s="14"/>
      <c r="O289" s="849"/>
      <c r="P289" s="849"/>
      <c r="Q289" s="849"/>
      <c r="R289" s="849"/>
      <c r="S289" s="849"/>
      <c r="T289" s="849"/>
      <c r="U289" s="849"/>
      <c r="V289" s="849"/>
      <c r="W289" s="849"/>
      <c r="X289" s="849"/>
      <c r="Y289" s="849"/>
      <c r="Z289" s="849"/>
      <c r="AA289" s="849"/>
      <c r="AB289" s="849"/>
      <c r="AC289" s="14"/>
      <c r="AD289" s="849"/>
      <c r="AE289" s="849"/>
      <c r="AF289" s="849"/>
      <c r="AG289" s="849"/>
      <c r="AH289" s="849"/>
      <c r="AI289" s="849"/>
      <c r="AJ289" s="849"/>
      <c r="AK289" s="849"/>
      <c r="AL289" s="849"/>
      <c r="AM289" s="849"/>
      <c r="AN289" s="849"/>
      <c r="AO289" s="849"/>
      <c r="AP289" s="849"/>
      <c r="AQ289" s="849"/>
      <c r="AR289" s="849"/>
      <c r="AS289" s="849"/>
      <c r="AT289" s="849"/>
      <c r="AU289" s="14"/>
      <c r="AV289" s="849"/>
      <c r="AW289" s="849"/>
      <c r="AX289" s="849"/>
      <c r="AY289" s="849"/>
      <c r="AZ289" s="849"/>
      <c r="BA289" s="849"/>
      <c r="BB289" s="849"/>
      <c r="BC289" s="849"/>
    </row>
    <row r="290" spans="8:119" ht="15" customHeight="1" x14ac:dyDescent="0.25">
      <c r="H290" s="848"/>
      <c r="I290" s="848"/>
      <c r="J290" s="848"/>
      <c r="K290" s="848"/>
      <c r="L290" s="848"/>
      <c r="M290" s="848"/>
      <c r="N290" s="14"/>
      <c r="O290" s="849"/>
      <c r="P290" s="849"/>
      <c r="Q290" s="849"/>
      <c r="R290" s="849"/>
      <c r="S290" s="849"/>
      <c r="T290" s="849"/>
      <c r="U290" s="849"/>
      <c r="V290" s="849"/>
      <c r="W290" s="849"/>
      <c r="X290" s="849"/>
      <c r="Y290" s="849"/>
      <c r="Z290" s="849"/>
      <c r="AA290" s="849"/>
      <c r="AB290" s="849"/>
      <c r="AC290" s="14"/>
      <c r="AD290" s="849"/>
      <c r="AE290" s="849"/>
      <c r="AF290" s="849"/>
      <c r="AG290" s="849"/>
      <c r="AH290" s="849"/>
      <c r="AI290" s="849"/>
      <c r="AJ290" s="849"/>
      <c r="AK290" s="849"/>
      <c r="AL290" s="849"/>
      <c r="AM290" s="849"/>
      <c r="AN290" s="849"/>
      <c r="AO290" s="849"/>
      <c r="AP290" s="849"/>
      <c r="AQ290" s="849"/>
      <c r="AR290" s="849"/>
      <c r="AS290" s="849"/>
      <c r="AT290" s="849"/>
      <c r="AU290" s="14"/>
      <c r="AV290" s="849"/>
      <c r="AW290" s="849"/>
      <c r="AX290" s="849"/>
      <c r="AY290" s="849"/>
      <c r="AZ290" s="849"/>
      <c r="BA290" s="849"/>
      <c r="BB290" s="849"/>
      <c r="BC290" s="849"/>
    </row>
    <row r="291" spans="8:119" ht="15" customHeight="1" x14ac:dyDescent="0.25">
      <c r="H291" s="848"/>
      <c r="I291" s="848"/>
      <c r="J291" s="848"/>
      <c r="K291" s="848"/>
      <c r="L291" s="848"/>
      <c r="M291" s="848"/>
      <c r="N291" s="14"/>
      <c r="O291" s="849"/>
      <c r="P291" s="849"/>
      <c r="Q291" s="849"/>
      <c r="R291" s="849"/>
      <c r="S291" s="849"/>
      <c r="T291" s="849"/>
      <c r="U291" s="849"/>
      <c r="V291" s="849"/>
      <c r="W291" s="849"/>
      <c r="X291" s="849"/>
      <c r="Y291" s="849"/>
      <c r="Z291" s="849"/>
      <c r="AA291" s="849"/>
      <c r="AB291" s="849"/>
      <c r="AC291" s="14"/>
      <c r="AD291" s="849"/>
      <c r="AE291" s="849"/>
      <c r="AF291" s="849"/>
      <c r="AG291" s="849"/>
      <c r="AH291" s="849"/>
      <c r="AI291" s="849"/>
      <c r="AJ291" s="849"/>
      <c r="AK291" s="849"/>
      <c r="AL291" s="849"/>
      <c r="AM291" s="849"/>
      <c r="AN291" s="849"/>
      <c r="AO291" s="849"/>
      <c r="AP291" s="849"/>
      <c r="AQ291" s="849"/>
      <c r="AR291" s="849"/>
      <c r="AS291" s="849"/>
      <c r="AT291" s="849"/>
      <c r="AU291" s="14"/>
      <c r="AV291" s="849"/>
      <c r="AW291" s="849"/>
      <c r="AX291" s="849"/>
      <c r="AY291" s="849"/>
      <c r="AZ291" s="849"/>
      <c r="BA291" s="849"/>
      <c r="BB291" s="849"/>
      <c r="BC291" s="849"/>
    </row>
    <row r="292" spans="8:119" ht="15" customHeight="1" x14ac:dyDescent="0.25">
      <c r="H292" s="848"/>
      <c r="I292" s="848"/>
      <c r="J292" s="848"/>
      <c r="K292" s="848"/>
      <c r="L292" s="848"/>
      <c r="M292" s="848"/>
      <c r="N292" s="14"/>
      <c r="O292" s="849"/>
      <c r="P292" s="849"/>
      <c r="Q292" s="849"/>
      <c r="R292" s="849"/>
      <c r="S292" s="849"/>
      <c r="T292" s="849"/>
      <c r="U292" s="849"/>
      <c r="V292" s="849"/>
      <c r="W292" s="849"/>
      <c r="X292" s="849"/>
      <c r="Y292" s="849"/>
      <c r="Z292" s="849"/>
      <c r="AA292" s="849"/>
      <c r="AB292" s="849"/>
      <c r="AC292" s="14"/>
      <c r="AD292" s="849"/>
      <c r="AE292" s="849"/>
      <c r="AF292" s="849"/>
      <c r="AG292" s="849"/>
      <c r="AH292" s="849"/>
      <c r="AI292" s="849"/>
      <c r="AJ292" s="849"/>
      <c r="AK292" s="849"/>
      <c r="AL292" s="849"/>
      <c r="AM292" s="849"/>
      <c r="AN292" s="849"/>
      <c r="AO292" s="849"/>
      <c r="AP292" s="849"/>
      <c r="AQ292" s="849"/>
      <c r="AR292" s="849"/>
      <c r="AS292" s="849"/>
      <c r="AT292" s="849"/>
      <c r="AU292" s="14"/>
      <c r="AV292" s="849"/>
      <c r="AW292" s="849"/>
      <c r="AX292" s="849"/>
      <c r="AY292" s="849"/>
      <c r="AZ292" s="849"/>
      <c r="BA292" s="849"/>
      <c r="BB292" s="849"/>
      <c r="BC292" s="849"/>
      <c r="DI292"/>
      <c r="DJ292"/>
      <c r="DK292"/>
      <c r="DL292"/>
      <c r="DM292"/>
      <c r="DN292"/>
      <c r="DO292"/>
    </row>
    <row r="293" spans="8:119" ht="15" customHeight="1" x14ac:dyDescent="0.25">
      <c r="H293" s="848"/>
      <c r="I293" s="848"/>
      <c r="J293" s="848"/>
      <c r="K293" s="848"/>
      <c r="L293" s="848"/>
      <c r="M293" s="848"/>
      <c r="N293" s="14"/>
      <c r="O293" s="849"/>
      <c r="P293" s="849"/>
      <c r="Q293" s="849"/>
      <c r="R293" s="849"/>
      <c r="S293" s="849"/>
      <c r="T293" s="849"/>
      <c r="U293" s="849"/>
      <c r="V293" s="849"/>
      <c r="W293" s="849"/>
      <c r="X293" s="849"/>
      <c r="Y293" s="849"/>
      <c r="Z293" s="849"/>
      <c r="AA293" s="849"/>
      <c r="AB293" s="849"/>
      <c r="AC293" s="14"/>
      <c r="AD293" s="849"/>
      <c r="AE293" s="849"/>
      <c r="AF293" s="849"/>
      <c r="AG293" s="849"/>
      <c r="AH293" s="849"/>
      <c r="AI293" s="849"/>
      <c r="AJ293" s="849"/>
      <c r="AK293" s="849"/>
      <c r="AL293" s="849"/>
      <c r="AM293" s="849"/>
      <c r="AN293" s="849"/>
      <c r="AO293" s="849"/>
      <c r="AP293" s="849"/>
      <c r="AQ293" s="849"/>
      <c r="AR293" s="849"/>
      <c r="AS293" s="849"/>
      <c r="AT293" s="849"/>
      <c r="AU293" s="14"/>
      <c r="AV293" s="849"/>
      <c r="AW293" s="849"/>
      <c r="AX293" s="849"/>
      <c r="AY293" s="849"/>
      <c r="AZ293" s="849"/>
      <c r="BA293" s="849"/>
      <c r="BB293" s="849"/>
      <c r="BC293" s="849"/>
    </row>
    <row r="294" spans="8:119" ht="15" customHeight="1" x14ac:dyDescent="0.25">
      <c r="H294" s="848"/>
      <c r="I294" s="848"/>
      <c r="J294" s="848"/>
      <c r="K294" s="848"/>
      <c r="L294" s="848"/>
      <c r="M294" s="848"/>
      <c r="N294" s="14"/>
      <c r="O294" s="849"/>
      <c r="P294" s="849"/>
      <c r="Q294" s="849"/>
      <c r="R294" s="849"/>
      <c r="S294" s="849"/>
      <c r="T294" s="849"/>
      <c r="U294" s="849"/>
      <c r="V294" s="849"/>
      <c r="W294" s="849"/>
      <c r="X294" s="849"/>
      <c r="Y294" s="849"/>
      <c r="Z294" s="849"/>
      <c r="AA294" s="849"/>
      <c r="AB294" s="849"/>
      <c r="AC294" s="14"/>
      <c r="AD294" s="849"/>
      <c r="AE294" s="849"/>
      <c r="AF294" s="849"/>
      <c r="AG294" s="849"/>
      <c r="AH294" s="849"/>
      <c r="AI294" s="849"/>
      <c r="AJ294" s="849"/>
      <c r="AK294" s="849"/>
      <c r="AL294" s="849"/>
      <c r="AM294" s="849"/>
      <c r="AN294" s="849"/>
      <c r="AO294" s="849"/>
      <c r="AP294" s="849"/>
      <c r="AQ294" s="849"/>
      <c r="AR294" s="849"/>
      <c r="AS294" s="849"/>
      <c r="AT294" s="849"/>
      <c r="AU294" s="14"/>
      <c r="AV294" s="849"/>
      <c r="AW294" s="849"/>
      <c r="AX294" s="849"/>
      <c r="AY294" s="849"/>
      <c r="AZ294" s="849"/>
      <c r="BA294" s="849"/>
      <c r="BB294" s="849"/>
      <c r="BC294" s="849"/>
    </row>
    <row r="295" spans="8:119" ht="15" customHeight="1" x14ac:dyDescent="0.25">
      <c r="H295" s="848"/>
      <c r="I295" s="848"/>
      <c r="J295" s="848"/>
      <c r="K295" s="848"/>
      <c r="L295" s="848"/>
      <c r="M295" s="848"/>
      <c r="N295" s="14"/>
      <c r="O295" s="849"/>
      <c r="P295" s="849"/>
      <c r="Q295" s="849"/>
      <c r="R295" s="849"/>
      <c r="S295" s="849"/>
      <c r="T295" s="849"/>
      <c r="U295" s="849"/>
      <c r="V295" s="849"/>
      <c r="W295" s="849"/>
      <c r="X295" s="849"/>
      <c r="Y295" s="849"/>
      <c r="Z295" s="849"/>
      <c r="AA295" s="849"/>
      <c r="AB295" s="849"/>
      <c r="AC295" s="14"/>
      <c r="AD295" s="849"/>
      <c r="AE295" s="849"/>
      <c r="AF295" s="849"/>
      <c r="AG295" s="849"/>
      <c r="AH295" s="849"/>
      <c r="AI295" s="849"/>
      <c r="AJ295" s="849"/>
      <c r="AK295" s="849"/>
      <c r="AL295" s="849"/>
      <c r="AM295" s="849"/>
      <c r="AN295" s="849"/>
      <c r="AO295" s="849"/>
      <c r="AP295" s="849"/>
      <c r="AQ295" s="849"/>
      <c r="AR295" s="849"/>
      <c r="AS295" s="849"/>
      <c r="AT295" s="849"/>
      <c r="AU295" s="14"/>
      <c r="AV295" s="849"/>
      <c r="AW295" s="849"/>
      <c r="AX295" s="849"/>
      <c r="AY295" s="849"/>
      <c r="AZ295" s="849"/>
      <c r="BA295" s="849"/>
      <c r="BB295" s="849"/>
      <c r="BC295" s="849"/>
    </row>
    <row r="296" spans="8:119" ht="15" customHeight="1" x14ac:dyDescent="0.25">
      <c r="H296" s="848"/>
      <c r="I296" s="848"/>
      <c r="J296" s="848"/>
      <c r="K296" s="848"/>
      <c r="L296" s="848"/>
      <c r="M296" s="848"/>
      <c r="N296" s="14"/>
      <c r="O296" s="849"/>
      <c r="P296" s="849"/>
      <c r="Q296" s="849"/>
      <c r="R296" s="849"/>
      <c r="S296" s="849"/>
      <c r="T296" s="849"/>
      <c r="U296" s="849"/>
      <c r="V296" s="849"/>
      <c r="W296" s="849"/>
      <c r="X296" s="849"/>
      <c r="Y296" s="849"/>
      <c r="Z296" s="849"/>
      <c r="AA296" s="849"/>
      <c r="AB296" s="849"/>
      <c r="AC296" s="14"/>
      <c r="AD296" s="849"/>
      <c r="AE296" s="849"/>
      <c r="AF296" s="849"/>
      <c r="AG296" s="849"/>
      <c r="AH296" s="849"/>
      <c r="AI296" s="849"/>
      <c r="AJ296" s="849"/>
      <c r="AK296" s="849"/>
      <c r="AL296" s="849"/>
      <c r="AM296" s="849"/>
      <c r="AN296" s="849"/>
      <c r="AO296" s="849"/>
      <c r="AP296" s="849"/>
      <c r="AQ296" s="849"/>
      <c r="AR296" s="849"/>
      <c r="AS296" s="849"/>
      <c r="AT296" s="849"/>
      <c r="AU296" s="14"/>
      <c r="AV296" s="849"/>
      <c r="AW296" s="849"/>
      <c r="AX296" s="849"/>
      <c r="AY296" s="849"/>
      <c r="AZ296" s="849"/>
      <c r="BA296" s="849"/>
      <c r="BB296" s="849"/>
      <c r="BC296" s="849"/>
    </row>
    <row r="297" spans="8:119" ht="15" customHeight="1" x14ac:dyDescent="0.25">
      <c r="H297" s="848"/>
      <c r="I297" s="848"/>
      <c r="J297" s="848"/>
      <c r="K297" s="848"/>
      <c r="L297" s="848"/>
      <c r="M297" s="848"/>
      <c r="N297" s="14"/>
      <c r="O297" s="849"/>
      <c r="P297" s="849"/>
      <c r="Q297" s="849"/>
      <c r="R297" s="849"/>
      <c r="S297" s="849"/>
      <c r="T297" s="849"/>
      <c r="U297" s="849"/>
      <c r="V297" s="849"/>
      <c r="W297" s="849"/>
      <c r="X297" s="849"/>
      <c r="Y297" s="849"/>
      <c r="Z297" s="849"/>
      <c r="AA297" s="849"/>
      <c r="AB297" s="849"/>
      <c r="AC297" s="14"/>
      <c r="AD297" s="849"/>
      <c r="AE297" s="849"/>
      <c r="AF297" s="849"/>
      <c r="AG297" s="849"/>
      <c r="AH297" s="849"/>
      <c r="AI297" s="849"/>
      <c r="AJ297" s="849"/>
      <c r="AK297" s="849"/>
      <c r="AL297" s="849"/>
      <c r="AM297" s="849"/>
      <c r="AN297" s="849"/>
      <c r="AO297" s="849"/>
      <c r="AP297" s="849"/>
      <c r="AQ297" s="849"/>
      <c r="AR297" s="849"/>
      <c r="AS297" s="849"/>
      <c r="AT297" s="849"/>
      <c r="AU297" s="14"/>
      <c r="AV297" s="849"/>
      <c r="AW297" s="849"/>
      <c r="AX297" s="849"/>
      <c r="AY297" s="849"/>
      <c r="AZ297" s="849"/>
      <c r="BA297" s="849"/>
      <c r="BB297" s="849"/>
      <c r="BC297" s="849"/>
    </row>
  </sheetData>
  <sheetProtection algorithmName="SHA-512" hashValue="V6khxxNKBwwnDYThjqPeMzY5DBBIH9+xeAFaS3AOie0ArYeS5FAT3I7Lkyz89F3DTcg3QJ2ev8TaIOrL7TJ15A==" saltValue="Ai/SikqSflzPiHwHvbEhJQ==" spinCount="100000" sheet="1" objects="1" scenarios="1"/>
  <mergeCells count="1656">
    <mergeCell ref="BW18:CA18"/>
    <mergeCell ref="BW19:CA19"/>
    <mergeCell ref="BW20:CA20"/>
    <mergeCell ref="BW21:CA21"/>
    <mergeCell ref="BW22:CA22"/>
    <mergeCell ref="BW23:CA23"/>
    <mergeCell ref="BW24:CA24"/>
    <mergeCell ref="BW25:CA25"/>
    <mergeCell ref="BW26:CA26"/>
    <mergeCell ref="BW27:CA27"/>
    <mergeCell ref="BW28:CA28"/>
    <mergeCell ref="BW29:CA29"/>
    <mergeCell ref="BW30:CA30"/>
    <mergeCell ref="BW31:CA31"/>
    <mergeCell ref="BH23:BV23"/>
    <mergeCell ref="CW26:DB26"/>
    <mergeCell ref="CH27:CV27"/>
    <mergeCell ref="CW27:DB27"/>
    <mergeCell ref="CH28:CV28"/>
    <mergeCell ref="CW28:DB28"/>
    <mergeCell ref="CH29:CV29"/>
    <mergeCell ref="CW29:DB29"/>
    <mergeCell ref="CH30:CV30"/>
    <mergeCell ref="CW30:DB30"/>
    <mergeCell ref="CH31:CV31"/>
    <mergeCell ref="CW31:DB31"/>
    <mergeCell ref="CH18:CV18"/>
    <mergeCell ref="CW18:DB18"/>
    <mergeCell ref="CW19:DB19"/>
    <mergeCell ref="CG20:CV20"/>
    <mergeCell ref="CW20:DB20"/>
    <mergeCell ref="CH21:CV21"/>
    <mergeCell ref="AM42:AO42"/>
    <mergeCell ref="AQ42:AS42"/>
    <mergeCell ref="AY41:BA41"/>
    <mergeCell ref="AY43:BA43"/>
    <mergeCell ref="AU60:AW60"/>
    <mergeCell ref="AQ59:AS59"/>
    <mergeCell ref="AM44:AO44"/>
    <mergeCell ref="AQ44:AS44"/>
    <mergeCell ref="AU44:AW44"/>
    <mergeCell ref="AY44:BA44"/>
    <mergeCell ref="AM41:AO41"/>
    <mergeCell ref="AM45:AO45"/>
    <mergeCell ref="AQ45:AS45"/>
    <mergeCell ref="AU45:AW45"/>
    <mergeCell ref="AM40:AO40"/>
    <mergeCell ref="AY42:BA42"/>
    <mergeCell ref="AM43:AO43"/>
    <mergeCell ref="AQ49:AS49"/>
    <mergeCell ref="AU49:AW49"/>
    <mergeCell ref="AY45:BA45"/>
    <mergeCell ref="AM53:AO53"/>
    <mergeCell ref="AY53:BA53"/>
    <mergeCell ref="AM56:BA56"/>
    <mergeCell ref="AQ40:AS40"/>
    <mergeCell ref="AU40:AW40"/>
    <mergeCell ref="AY40:BA40"/>
    <mergeCell ref="AY57:BA57"/>
    <mergeCell ref="AQ43:AS43"/>
    <mergeCell ref="AM57:AO57"/>
    <mergeCell ref="AQ57:AS57"/>
    <mergeCell ref="AY49:BA49"/>
    <mergeCell ref="AU59:AW59"/>
    <mergeCell ref="CW21:DB21"/>
    <mergeCell ref="CH22:CV22"/>
    <mergeCell ref="CW22:DB22"/>
    <mergeCell ref="CH23:CV23"/>
    <mergeCell ref="CW23:DB23"/>
    <mergeCell ref="CH24:CV24"/>
    <mergeCell ref="CW24:DB24"/>
    <mergeCell ref="CH25:CV25"/>
    <mergeCell ref="CW25:DB25"/>
    <mergeCell ref="CG13:CV13"/>
    <mergeCell ref="CW13:DB13"/>
    <mergeCell ref="CG14:CV14"/>
    <mergeCell ref="CW14:DB14"/>
    <mergeCell ref="CH15:CV15"/>
    <mergeCell ref="CW15:DB15"/>
    <mergeCell ref="CH16:CV16"/>
    <mergeCell ref="CW16:DB16"/>
    <mergeCell ref="CH17:CV17"/>
    <mergeCell ref="CW17:DB17"/>
    <mergeCell ref="AM13:BA17"/>
    <mergeCell ref="BM9:BQ9"/>
    <mergeCell ref="BY9:CB9"/>
    <mergeCell ref="BG6:CB7"/>
    <mergeCell ref="BY10:CB10"/>
    <mergeCell ref="BG10:BL11"/>
    <mergeCell ref="BM10:BQ10"/>
    <mergeCell ref="BG9:BL9"/>
    <mergeCell ref="BS9:BX9"/>
    <mergeCell ref="BS10:BX10"/>
    <mergeCell ref="BW13:CA13"/>
    <mergeCell ref="BW14:CA14"/>
    <mergeCell ref="BW15:CA15"/>
    <mergeCell ref="BW16:CA16"/>
    <mergeCell ref="BH15:BV15"/>
    <mergeCell ref="BH17:BV17"/>
    <mergeCell ref="CV7:CX7"/>
    <mergeCell ref="CW12:DB12"/>
    <mergeCell ref="BW17:CA17"/>
    <mergeCell ref="BG14:BV14"/>
    <mergeCell ref="AL6:AY6"/>
    <mergeCell ref="BW12:CB12"/>
    <mergeCell ref="CG10:DB11"/>
    <mergeCell ref="CI7:CT9"/>
    <mergeCell ref="FT272:FW272"/>
    <mergeCell ref="FL273:FS273"/>
    <mergeCell ref="FT273:FW273"/>
    <mergeCell ref="FL274:FS274"/>
    <mergeCell ref="FT274:FW274"/>
    <mergeCell ref="FZ272:GD272"/>
    <mergeCell ref="GG272:GJ272"/>
    <mergeCell ref="FZ273:GD273"/>
    <mergeCell ref="GG273:GJ273"/>
    <mergeCell ref="FZ274:GD274"/>
    <mergeCell ref="GG274:GK274"/>
    <mergeCell ref="EM174:EQ174"/>
    <mergeCell ref="EM202:EQ202"/>
    <mergeCell ref="EM193:EQ193"/>
    <mergeCell ref="ES192:EW192"/>
    <mergeCell ref="EC283:EG283"/>
    <mergeCell ref="EH283:EK283"/>
    <mergeCell ref="EN280:ER280"/>
    <mergeCell ref="EN282:ER282"/>
    <mergeCell ref="FC274:FG274"/>
    <mergeCell ref="FC273:FF273"/>
    <mergeCell ref="FC272:FF272"/>
    <mergeCell ref="EP274:ES274"/>
    <mergeCell ref="EB196:ED196"/>
    <mergeCell ref="DI271:ED271"/>
    <mergeCell ref="DX206:DZ206"/>
    <mergeCell ref="DV277:DY277"/>
    <mergeCell ref="DH178:DJ178"/>
    <mergeCell ref="DK176:DU176"/>
    <mergeCell ref="DX176:EH176"/>
    <mergeCell ref="EM176:EQ176"/>
    <mergeCell ref="DV275:DY275"/>
    <mergeCell ref="EC282:EG282"/>
    <mergeCell ref="EH282:EK282"/>
    <mergeCell ref="AJ280:BC280"/>
    <mergeCell ref="DP282:DT282"/>
    <mergeCell ref="H297:M297"/>
    <mergeCell ref="O297:AB297"/>
    <mergeCell ref="AD297:AT297"/>
    <mergeCell ref="AV297:BC297"/>
    <mergeCell ref="H296:M296"/>
    <mergeCell ref="O296:AB296"/>
    <mergeCell ref="AD296:AT296"/>
    <mergeCell ref="AV296:BC296"/>
    <mergeCell ref="H291:M291"/>
    <mergeCell ref="O291:AB291"/>
    <mergeCell ref="AD291:AT291"/>
    <mergeCell ref="AV291:BC291"/>
    <mergeCell ref="H290:M290"/>
    <mergeCell ref="O290:AB290"/>
    <mergeCell ref="AD290:AT290"/>
    <mergeCell ref="AV290:BC290"/>
    <mergeCell ref="H293:M293"/>
    <mergeCell ref="O293:AB293"/>
    <mergeCell ref="AD293:AT293"/>
    <mergeCell ref="AV293:BC293"/>
    <mergeCell ref="H292:M292"/>
    <mergeCell ref="O292:AB292"/>
    <mergeCell ref="AD292:AT292"/>
    <mergeCell ref="AV292:BC292"/>
    <mergeCell ref="H295:M295"/>
    <mergeCell ref="O295:AB295"/>
    <mergeCell ref="AD295:AT295"/>
    <mergeCell ref="AV295:BC295"/>
    <mergeCell ref="EC280:EK280"/>
    <mergeCell ref="EC281:EG281"/>
    <mergeCell ref="EH281:EK281"/>
    <mergeCell ref="AW209:AY209"/>
    <mergeCell ref="AW228:AY228"/>
    <mergeCell ref="AW230:AY230"/>
    <mergeCell ref="AW219:AY219"/>
    <mergeCell ref="J232:S232"/>
    <mergeCell ref="J225:S225"/>
    <mergeCell ref="I226:S226"/>
    <mergeCell ref="J227:S227"/>
    <mergeCell ref="J228:S228"/>
    <mergeCell ref="AI230:AR230"/>
    <mergeCell ref="X211:Z211"/>
    <mergeCell ref="X215:Z215"/>
    <mergeCell ref="X219:Z219"/>
    <mergeCell ref="AB219:AD219"/>
    <mergeCell ref="T218:AD218"/>
    <mergeCell ref="BA232:BC232"/>
    <mergeCell ref="AH275:AU275"/>
    <mergeCell ref="AV275:AY275"/>
    <mergeCell ref="DI275:DU275"/>
    <mergeCell ref="AW236:AY236"/>
    <mergeCell ref="I275:V275"/>
    <mergeCell ref="W275:Z275"/>
    <mergeCell ref="V252:Y252"/>
    <mergeCell ref="AA251:AD251"/>
    <mergeCell ref="AS238:AU238"/>
    <mergeCell ref="Q250:T250"/>
    <mergeCell ref="AI231:AR231"/>
    <mergeCell ref="AI232:AR232"/>
    <mergeCell ref="AH236:AR236"/>
    <mergeCell ref="L131:AE131"/>
    <mergeCell ref="AQ78:AS78"/>
    <mergeCell ref="AB90:AD90"/>
    <mergeCell ref="U118:Y118"/>
    <mergeCell ref="I119:M119"/>
    <mergeCell ref="U134:Y134"/>
    <mergeCell ref="AN137:AR137"/>
    <mergeCell ref="AN133:AR133"/>
    <mergeCell ref="AF65:AH65"/>
    <mergeCell ref="AH208:AR208"/>
    <mergeCell ref="AI209:AR209"/>
    <mergeCell ref="AB222:AD222"/>
    <mergeCell ref="J209:S209"/>
    <mergeCell ref="V250:Y250"/>
    <mergeCell ref="AA250:AD250"/>
    <mergeCell ref="T225:V225"/>
    <mergeCell ref="Q252:T252"/>
    <mergeCell ref="I250:P250"/>
    <mergeCell ref="AB236:AD236"/>
    <mergeCell ref="AP248:AS248"/>
    <mergeCell ref="Q249:T249"/>
    <mergeCell ref="V249:Y249"/>
    <mergeCell ref="AS227:AU227"/>
    <mergeCell ref="AS234:AU234"/>
    <mergeCell ref="AS179:AU179"/>
    <mergeCell ref="AS177:AU177"/>
    <mergeCell ref="AN141:AR141"/>
    <mergeCell ref="AS183:AU183"/>
    <mergeCell ref="J180:S180"/>
    <mergeCell ref="T180:V180"/>
    <mergeCell ref="AB199:AD199"/>
    <mergeCell ref="T179:V179"/>
    <mergeCell ref="AW207:AY207"/>
    <mergeCell ref="V253:Y253"/>
    <mergeCell ref="T226:V226"/>
    <mergeCell ref="T223:V223"/>
    <mergeCell ref="J210:S210"/>
    <mergeCell ref="J211:S211"/>
    <mergeCell ref="T208:V208"/>
    <mergeCell ref="I237:J237"/>
    <mergeCell ref="K237:AD237"/>
    <mergeCell ref="X222:Z222"/>
    <mergeCell ref="U136:Y136"/>
    <mergeCell ref="U137:Y137"/>
    <mergeCell ref="AQ63:AS63"/>
    <mergeCell ref="I67:S67"/>
    <mergeCell ref="J68:S68"/>
    <mergeCell ref="AY70:BA70"/>
    <mergeCell ref="AM72:AO72"/>
    <mergeCell ref="AM67:AO67"/>
    <mergeCell ref="AQ67:AS67"/>
    <mergeCell ref="AM69:AO69"/>
    <mergeCell ref="BA107:BB107"/>
    <mergeCell ref="AH106:AV107"/>
    <mergeCell ref="AG137:AK137"/>
    <mergeCell ref="AG138:AK138"/>
    <mergeCell ref="AQ70:AS70"/>
    <mergeCell ref="AU70:AW70"/>
    <mergeCell ref="AY69:BA69"/>
    <mergeCell ref="AY68:BA68"/>
    <mergeCell ref="AM82:AO82"/>
    <mergeCell ref="AY66:BA66"/>
    <mergeCell ref="I135:M135"/>
    <mergeCell ref="AN135:AR135"/>
    <mergeCell ref="AB211:AD211"/>
    <mergeCell ref="AB215:AD215"/>
    <mergeCell ref="AB208:AD208"/>
    <mergeCell ref="X220:Z220"/>
    <mergeCell ref="X221:Z221"/>
    <mergeCell ref="AB231:AD231"/>
    <mergeCell ref="H294:M294"/>
    <mergeCell ref="O294:AB294"/>
    <mergeCell ref="AD294:AT294"/>
    <mergeCell ref="AV294:BC294"/>
    <mergeCell ref="H287:M287"/>
    <mergeCell ref="O287:AB287"/>
    <mergeCell ref="AD287:AT287"/>
    <mergeCell ref="AV287:BC287"/>
    <mergeCell ref="I249:P249"/>
    <mergeCell ref="I253:P253"/>
    <mergeCell ref="Q253:T253"/>
    <mergeCell ref="AA255:AD255"/>
    <mergeCell ref="T222:V222"/>
    <mergeCell ref="T211:V211"/>
    <mergeCell ref="AB227:AD227"/>
    <mergeCell ref="X224:Z224"/>
    <mergeCell ref="X223:Z223"/>
    <mergeCell ref="AH277:AO277"/>
    <mergeCell ref="AA249:AD249"/>
    <mergeCell ref="H289:M289"/>
    <mergeCell ref="O289:AB289"/>
    <mergeCell ref="AG136:AK136"/>
    <mergeCell ref="AD289:AT289"/>
    <mergeCell ref="AV289:BC289"/>
    <mergeCell ref="H288:M288"/>
    <mergeCell ref="O288:AB288"/>
    <mergeCell ref="AD288:AT288"/>
    <mergeCell ref="AV288:BC288"/>
    <mergeCell ref="I208:S208"/>
    <mergeCell ref="J221:S221"/>
    <mergeCell ref="J222:S222"/>
    <mergeCell ref="J223:S223"/>
    <mergeCell ref="EF122:EI122"/>
    <mergeCell ref="X88:Z88"/>
    <mergeCell ref="DK178:DM178"/>
    <mergeCell ref="DS177:DU177"/>
    <mergeCell ref="EF137:EI137"/>
    <mergeCell ref="AX160:BA160"/>
    <mergeCell ref="EF196:EH196"/>
    <mergeCell ref="EF178:EH178"/>
    <mergeCell ref="EB177:ED177"/>
    <mergeCell ref="DK181:EH181"/>
    <mergeCell ref="AS180:AU180"/>
    <mergeCell ref="AS187:AU187"/>
    <mergeCell ref="AW208:AY208"/>
    <mergeCell ref="BA210:BC210"/>
    <mergeCell ref="I216:J216"/>
    <mergeCell ref="AS208:AU208"/>
    <mergeCell ref="I254:P254"/>
    <mergeCell ref="AA252:AD252"/>
    <mergeCell ref="AS232:AU232"/>
    <mergeCell ref="BH18:BV18"/>
    <mergeCell ref="BH19:BV19"/>
    <mergeCell ref="BH16:BV16"/>
    <mergeCell ref="BH22:BV22"/>
    <mergeCell ref="DQ124:DU124"/>
    <mergeCell ref="EA134:EL134"/>
    <mergeCell ref="EA136:ED136"/>
    <mergeCell ref="EF136:EI136"/>
    <mergeCell ref="DQ125:DU125"/>
    <mergeCell ref="DQ136:DU136"/>
    <mergeCell ref="EJ44:EW44"/>
    <mergeCell ref="DS36:DV36"/>
    <mergeCell ref="DX36:EA36"/>
    <mergeCell ref="DK42:DR42"/>
    <mergeCell ref="DS42:DV42"/>
    <mergeCell ref="DX42:EA42"/>
    <mergeCell ref="DS63:DV63"/>
    <mergeCell ref="EK122:EN122"/>
    <mergeCell ref="DS64:DV64"/>
    <mergeCell ref="DX64:EA64"/>
    <mergeCell ref="EC64:EF64"/>
    <mergeCell ref="EA114:EL114"/>
    <mergeCell ref="DK113:DO113"/>
    <mergeCell ref="DQ113:DU113"/>
    <mergeCell ref="DK63:DR63"/>
    <mergeCell ref="CH26:CV26"/>
    <mergeCell ref="DK64:DR64"/>
    <mergeCell ref="DS67:DV67"/>
    <mergeCell ref="DX67:EA67"/>
    <mergeCell ref="EC67:EF67"/>
    <mergeCell ref="EC85:EF85"/>
    <mergeCell ref="DK86:DR86"/>
    <mergeCell ref="EL8:FG8"/>
    <mergeCell ref="ET19:EW19"/>
    <mergeCell ref="EY19:FB19"/>
    <mergeCell ref="FD19:FG19"/>
    <mergeCell ref="EL19:ES19"/>
    <mergeCell ref="EY14:FB14"/>
    <mergeCell ref="FD14:FG14"/>
    <mergeCell ref="EY16:FB16"/>
    <mergeCell ref="EL16:ES16"/>
    <mergeCell ref="ET16:EW16"/>
    <mergeCell ref="ET10:EW10"/>
    <mergeCell ref="EY10:FB10"/>
    <mergeCell ref="FD10:FG10"/>
    <mergeCell ref="EY11:FB11"/>
    <mergeCell ref="FD11:FG11"/>
    <mergeCell ref="EY12:FB12"/>
    <mergeCell ref="FD12:FG12"/>
    <mergeCell ref="EY13:FB13"/>
    <mergeCell ref="EL11:ES11"/>
    <mergeCell ref="ET11:EW11"/>
    <mergeCell ref="EL12:ES12"/>
    <mergeCell ref="FD16:FG16"/>
    <mergeCell ref="ET12:EW12"/>
    <mergeCell ref="EL13:ES13"/>
    <mergeCell ref="ET13:EW13"/>
    <mergeCell ref="FD13:FG13"/>
    <mergeCell ref="EL14:ES14"/>
    <mergeCell ref="ET14:EW14"/>
    <mergeCell ref="T95:V95"/>
    <mergeCell ref="I126:Q126"/>
    <mergeCell ref="AI124:AM124"/>
    <mergeCell ref="AO124:AS124"/>
    <mergeCell ref="J125:Z125"/>
    <mergeCell ref="X95:Z95"/>
    <mergeCell ref="AB95:AD95"/>
    <mergeCell ref="I121:M121"/>
    <mergeCell ref="I118:M118"/>
    <mergeCell ref="I116:M116"/>
    <mergeCell ref="I113:M113"/>
    <mergeCell ref="U122:Y122"/>
    <mergeCell ref="U117:Y117"/>
    <mergeCell ref="U115:Y115"/>
    <mergeCell ref="U116:Y116"/>
    <mergeCell ref="AO115:AS115"/>
    <mergeCell ref="X91:Z91"/>
    <mergeCell ref="AB91:AD91"/>
    <mergeCell ref="AF91:AH91"/>
    <mergeCell ref="R126:V126"/>
    <mergeCell ref="EJ51:EM51"/>
    <mergeCell ref="EO51:ER51"/>
    <mergeCell ref="ET51:EW51"/>
    <mergeCell ref="DK62:DR62"/>
    <mergeCell ref="DS62:DV62"/>
    <mergeCell ref="DX62:EA62"/>
    <mergeCell ref="EF121:EI121"/>
    <mergeCell ref="EL20:ES20"/>
    <mergeCell ref="EL21:ES21"/>
    <mergeCell ref="ET20:EW20"/>
    <mergeCell ref="EY20:FB20"/>
    <mergeCell ref="EC62:EF62"/>
    <mergeCell ref="DX61:EA61"/>
    <mergeCell ref="EC61:EF61"/>
    <mergeCell ref="DX86:EA86"/>
    <mergeCell ref="EC86:EF86"/>
    <mergeCell ref="EO53:ER53"/>
    <mergeCell ref="ET53:EW53"/>
    <mergeCell ref="ET48:EW48"/>
    <mergeCell ref="EJ49:EM49"/>
    <mergeCell ref="EO49:ER49"/>
    <mergeCell ref="ET49:EW49"/>
    <mergeCell ref="DX50:EA50"/>
    <mergeCell ref="DK51:DR51"/>
    <mergeCell ref="EJ46:EW46"/>
    <mergeCell ref="EJ47:EM47"/>
    <mergeCell ref="FD20:FG20"/>
    <mergeCell ref="ET21:EW21"/>
    <mergeCell ref="EY21:FB21"/>
    <mergeCell ref="FD21:FG21"/>
    <mergeCell ref="DS86:DV86"/>
    <mergeCell ref="AW200:AY200"/>
    <mergeCell ref="AW201:AY201"/>
    <mergeCell ref="BA205:BC205"/>
    <mergeCell ref="DX177:DZ177"/>
    <mergeCell ref="DX183:EH183"/>
    <mergeCell ref="DK121:DO121"/>
    <mergeCell ref="DQ121:DU121"/>
    <mergeCell ref="DK59:EF59"/>
    <mergeCell ref="DS61:DV61"/>
    <mergeCell ref="DK67:DR67"/>
    <mergeCell ref="DK65:DR65"/>
    <mergeCell ref="DS65:DV65"/>
    <mergeCell ref="EC63:EF63"/>
    <mergeCell ref="EC89:EF89"/>
    <mergeCell ref="DX89:EA89"/>
    <mergeCell ref="EA119:EL119"/>
    <mergeCell ref="EK136:EN136"/>
    <mergeCell ref="EF116:EI116"/>
    <mergeCell ref="DX117:DY117"/>
    <mergeCell ref="DK119:DO119"/>
    <mergeCell ref="DQ119:DU119"/>
    <mergeCell ref="DQ117:DU117"/>
    <mergeCell ref="DK117:DO117"/>
    <mergeCell ref="DQ137:DU137"/>
    <mergeCell ref="AY87:BA87"/>
    <mergeCell ref="AS202:AU202"/>
    <mergeCell ref="DS184:DU184"/>
    <mergeCell ref="EF205:EH205"/>
    <mergeCell ref="EF206:EH206"/>
    <mergeCell ref="DX184:DZ184"/>
    <mergeCell ref="EB184:ED184"/>
    <mergeCell ref="EF184:EH184"/>
    <mergeCell ref="EF197:EH197"/>
    <mergeCell ref="DX137:DY137"/>
    <mergeCell ref="EA137:ED137"/>
    <mergeCell ref="DK118:DO118"/>
    <mergeCell ref="AS198:AU198"/>
    <mergeCell ref="AW198:AY198"/>
    <mergeCell ref="AW199:AY199"/>
    <mergeCell ref="AS182:AU182"/>
    <mergeCell ref="AW182:AY182"/>
    <mergeCell ref="AS157:AV157"/>
    <mergeCell ref="DQ118:DU118"/>
    <mergeCell ref="EB185:ED185"/>
    <mergeCell ref="DK174:EH174"/>
    <mergeCell ref="DI167:DM167"/>
    <mergeCell ref="DO184:DQ184"/>
    <mergeCell ref="BA187:BC187"/>
    <mergeCell ref="BA198:BC198"/>
    <mergeCell ref="DO177:DQ177"/>
    <mergeCell ref="AS178:AU178"/>
    <mergeCell ref="AW206:AY206"/>
    <mergeCell ref="DQ122:DU122"/>
    <mergeCell ref="DK120:DO120"/>
    <mergeCell ref="DQ120:DU120"/>
    <mergeCell ref="DX122:DY122"/>
    <mergeCell ref="EA122:ED122"/>
    <mergeCell ref="DK193:EH193"/>
    <mergeCell ref="DK195:DU195"/>
    <mergeCell ref="DX195:EH195"/>
    <mergeCell ref="DK196:DM196"/>
    <mergeCell ref="AY62:BA62"/>
    <mergeCell ref="AU72:AW72"/>
    <mergeCell ref="AU68:AW68"/>
    <mergeCell ref="EK116:EN116"/>
    <mergeCell ref="EA117:ED117"/>
    <mergeCell ref="EF117:EI117"/>
    <mergeCell ref="EK117:EN117"/>
    <mergeCell ref="EA121:ED121"/>
    <mergeCell ref="EB178:ED178"/>
    <mergeCell ref="DK122:DO122"/>
    <mergeCell ref="AX157:BA157"/>
    <mergeCell ref="AX158:BA158"/>
    <mergeCell ref="AX159:BA159"/>
    <mergeCell ref="EK137:EN137"/>
    <mergeCell ref="EA116:ED116"/>
    <mergeCell ref="DX63:EA63"/>
    <mergeCell ref="DK115:DO115"/>
    <mergeCell ref="DQ115:DU115"/>
    <mergeCell ref="DK116:DO116"/>
    <mergeCell ref="DQ116:DU116"/>
    <mergeCell ref="DX65:EA65"/>
    <mergeCell ref="EC65:EF65"/>
    <mergeCell ref="EM195:EQ195"/>
    <mergeCell ref="DZ112:EN112"/>
    <mergeCell ref="EK121:EN121"/>
    <mergeCell ref="I140:M140"/>
    <mergeCell ref="AW145:BA145"/>
    <mergeCell ref="I143:M143"/>
    <mergeCell ref="AN143:AR143"/>
    <mergeCell ref="DK184:DM184"/>
    <mergeCell ref="BA182:BC182"/>
    <mergeCell ref="T182:V182"/>
    <mergeCell ref="AB182:AD182"/>
    <mergeCell ref="J179:S179"/>
    <mergeCell ref="AW229:AY229"/>
    <mergeCell ref="AW224:AY224"/>
    <mergeCell ref="AW225:AY225"/>
    <mergeCell ref="BA215:BC215"/>
    <mergeCell ref="BA201:BC201"/>
    <mergeCell ref="BA202:BC202"/>
    <mergeCell ref="BA219:BC219"/>
    <mergeCell ref="BA223:BC223"/>
    <mergeCell ref="AW220:AY220"/>
    <mergeCell ref="BA208:BC208"/>
    <mergeCell ref="BA209:BC209"/>
    <mergeCell ref="BA184:BC184"/>
    <mergeCell ref="DK202:EH202"/>
    <mergeCell ref="BA199:BC199"/>
    <mergeCell ref="BA189:BC189"/>
    <mergeCell ref="BA190:BC190"/>
    <mergeCell ref="AS218:BC218"/>
    <mergeCell ref="DX185:DZ185"/>
    <mergeCell ref="BA213:BC213"/>
    <mergeCell ref="AW223:AY223"/>
    <mergeCell ref="BA221:BC221"/>
    <mergeCell ref="AS229:AU229"/>
    <mergeCell ref="EB206:ED206"/>
    <mergeCell ref="DK185:DM185"/>
    <mergeCell ref="DO185:DQ185"/>
    <mergeCell ref="DS185:DU185"/>
    <mergeCell ref="AN158:AQ158"/>
    <mergeCell ref="DK177:DM177"/>
    <mergeCell ref="AW184:AY184"/>
    <mergeCell ref="AS185:AU185"/>
    <mergeCell ref="DO196:DQ196"/>
    <mergeCell ref="BA185:BC185"/>
    <mergeCell ref="AS184:AU184"/>
    <mergeCell ref="BA188:BC188"/>
    <mergeCell ref="AW185:AY185"/>
    <mergeCell ref="EF177:EH177"/>
    <mergeCell ref="DK183:DU183"/>
    <mergeCell ref="AD158:AG158"/>
    <mergeCell ref="AD159:AG159"/>
    <mergeCell ref="I141:M141"/>
    <mergeCell ref="I160:K160"/>
    <mergeCell ref="M160:V160"/>
    <mergeCell ref="X160:AA160"/>
    <mergeCell ref="U141:Y141"/>
    <mergeCell ref="AI158:AL158"/>
    <mergeCell ref="M158:V158"/>
    <mergeCell ref="J148:AA148"/>
    <mergeCell ref="AI148:BB148"/>
    <mergeCell ref="AC147:AM147"/>
    <mergeCell ref="AI149:BA150"/>
    <mergeCell ref="AI157:AL157"/>
    <mergeCell ref="I155:K157"/>
    <mergeCell ref="AG145:AK145"/>
    <mergeCell ref="AS159:AV159"/>
    <mergeCell ref="AN157:AQ157"/>
    <mergeCell ref="DX178:DZ178"/>
    <mergeCell ref="DK205:DM205"/>
    <mergeCell ref="DO205:DQ205"/>
    <mergeCell ref="AW186:AY186"/>
    <mergeCell ref="BA186:BC186"/>
    <mergeCell ref="AW179:AY179"/>
    <mergeCell ref="AW177:AY177"/>
    <mergeCell ref="BA206:BC206"/>
    <mergeCell ref="DS206:DU206"/>
    <mergeCell ref="BA183:BC183"/>
    <mergeCell ref="DS205:DU205"/>
    <mergeCell ref="BA194:BC194"/>
    <mergeCell ref="AW204:AY204"/>
    <mergeCell ref="AW205:AY205"/>
    <mergeCell ref="AW187:AY187"/>
    <mergeCell ref="AS200:AU200"/>
    <mergeCell ref="AS201:AU201"/>
    <mergeCell ref="AW180:AY180"/>
    <mergeCell ref="BA180:BC180"/>
    <mergeCell ref="AS181:AU181"/>
    <mergeCell ref="AW181:AY181"/>
    <mergeCell ref="BA177:BC177"/>
    <mergeCell ref="DO178:DQ178"/>
    <mergeCell ref="DS178:DU178"/>
    <mergeCell ref="AS199:AU199"/>
    <mergeCell ref="DK206:DM206"/>
    <mergeCell ref="DX197:DZ197"/>
    <mergeCell ref="DO206:DQ206"/>
    <mergeCell ref="DH206:DJ206"/>
    <mergeCell ref="AW189:AY189"/>
    <mergeCell ref="AW202:AY202"/>
    <mergeCell ref="DS196:DU196"/>
    <mergeCell ref="EB197:ED197"/>
    <mergeCell ref="AS204:AU204"/>
    <mergeCell ref="BA200:BC200"/>
    <mergeCell ref="K195:AD195"/>
    <mergeCell ref="AS192:AU192"/>
    <mergeCell ref="T204:V204"/>
    <mergeCell ref="T205:V205"/>
    <mergeCell ref="I194:S194"/>
    <mergeCell ref="X190:Z190"/>
    <mergeCell ref="AB194:AD194"/>
    <mergeCell ref="I195:J195"/>
    <mergeCell ref="AW194:AY194"/>
    <mergeCell ref="BA192:BC192"/>
    <mergeCell ref="BA179:BC179"/>
    <mergeCell ref="J203:S203"/>
    <mergeCell ref="AB187:AD187"/>
    <mergeCell ref="AH194:AR194"/>
    <mergeCell ref="AS190:AU190"/>
    <mergeCell ref="AH184:AR184"/>
    <mergeCell ref="BA181:BC181"/>
    <mergeCell ref="J201:S201"/>
    <mergeCell ref="J202:S202"/>
    <mergeCell ref="T203:V203"/>
    <mergeCell ref="BA203:BC203"/>
    <mergeCell ref="X184:Z184"/>
    <mergeCell ref="AB184:AD184"/>
    <mergeCell ref="X188:Z188"/>
    <mergeCell ref="DX196:DZ196"/>
    <mergeCell ref="BA204:BC204"/>
    <mergeCell ref="AS197:BC197"/>
    <mergeCell ref="AW190:AY190"/>
    <mergeCell ref="AS194:AU194"/>
    <mergeCell ref="O121:S121"/>
    <mergeCell ref="AG133:AK133"/>
    <mergeCell ref="AV143:BB143"/>
    <mergeCell ref="AI131:BB131"/>
    <mergeCell ref="AN134:AR134"/>
    <mergeCell ref="AG134:AK134"/>
    <mergeCell ref="AG135:AK135"/>
    <mergeCell ref="AG140:AK140"/>
    <mergeCell ref="AG143:AK143"/>
    <mergeCell ref="I145:M145"/>
    <mergeCell ref="AG142:AK142"/>
    <mergeCell ref="AN142:AR142"/>
    <mergeCell ref="AH178:AR178"/>
    <mergeCell ref="AI180:AR180"/>
    <mergeCell ref="AB206:AD206"/>
    <mergeCell ref="AI185:AR185"/>
    <mergeCell ref="AB179:AD179"/>
    <mergeCell ref="I147:Q147"/>
    <mergeCell ref="AX162:BA162"/>
    <mergeCell ref="AX163:BA163"/>
    <mergeCell ref="AL152:AX153"/>
    <mergeCell ref="AW147:BA147"/>
    <mergeCell ref="AS176:BC176"/>
    <mergeCell ref="AW192:AY192"/>
    <mergeCell ref="AW203:AY203"/>
    <mergeCell ref="AW188:AY188"/>
    <mergeCell ref="AI181:AR181"/>
    <mergeCell ref="AX164:BA164"/>
    <mergeCell ref="AX161:BA161"/>
    <mergeCell ref="AN140:AR140"/>
    <mergeCell ref="U140:Y140"/>
    <mergeCell ref="AN145:AR145"/>
    <mergeCell ref="I136:M136"/>
    <mergeCell ref="U120:Y120"/>
    <mergeCell ref="O120:S120"/>
    <mergeCell ref="O119:S119"/>
    <mergeCell ref="O118:S118"/>
    <mergeCell ref="U119:Y119"/>
    <mergeCell ref="I133:M133"/>
    <mergeCell ref="X177:Z177"/>
    <mergeCell ref="AB177:AD177"/>
    <mergeCell ref="T177:V177"/>
    <mergeCell ref="X162:AA162"/>
    <mergeCell ref="I161:K161"/>
    <mergeCell ref="I158:K158"/>
    <mergeCell ref="I142:M142"/>
    <mergeCell ref="U139:Y139"/>
    <mergeCell ref="AS158:AV158"/>
    <mergeCell ref="AN160:AQ160"/>
    <mergeCell ref="I139:M139"/>
    <mergeCell ref="AN147:AR147"/>
    <mergeCell ref="AS160:AV160"/>
    <mergeCell ref="AH153:AI153"/>
    <mergeCell ref="L153:AC153"/>
    <mergeCell ref="AD153:AF153"/>
    <mergeCell ref="AO119:AS119"/>
    <mergeCell ref="I122:M122"/>
    <mergeCell ref="U147:Y147"/>
    <mergeCell ref="AD160:AG160"/>
    <mergeCell ref="AI160:AL160"/>
    <mergeCell ref="X158:AA158"/>
    <mergeCell ref="M155:V157"/>
    <mergeCell ref="I124:M124"/>
    <mergeCell ref="O124:S124"/>
    <mergeCell ref="AY60:BA60"/>
    <mergeCell ref="AM60:AO60"/>
    <mergeCell ref="M163:V163"/>
    <mergeCell ref="K169:W169"/>
    <mergeCell ref="I164:K164"/>
    <mergeCell ref="I163:K163"/>
    <mergeCell ref="I159:K159"/>
    <mergeCell ref="T190:V190"/>
    <mergeCell ref="AB190:AD190"/>
    <mergeCell ref="T199:V199"/>
    <mergeCell ref="X200:Z200"/>
    <mergeCell ref="T184:V184"/>
    <mergeCell ref="X202:Z202"/>
    <mergeCell ref="AB200:AD200"/>
    <mergeCell ref="AB201:AD201"/>
    <mergeCell ref="AY67:BA67"/>
    <mergeCell ref="AS161:AV161"/>
    <mergeCell ref="AI156:BA156"/>
    <mergeCell ref="AD156:AG157"/>
    <mergeCell ref="AF78:AH78"/>
    <mergeCell ref="AA113:AD122"/>
    <mergeCell ref="AF82:AH82"/>
    <mergeCell ref="AF85:AH85"/>
    <mergeCell ref="AQ97:AS97"/>
    <mergeCell ref="AS186:AU186"/>
    <mergeCell ref="AB189:AD189"/>
    <mergeCell ref="AS188:AU188"/>
    <mergeCell ref="AS189:AU189"/>
    <mergeCell ref="AI200:AR200"/>
    <mergeCell ref="T183:V183"/>
    <mergeCell ref="I138:M138"/>
    <mergeCell ref="AI179:AR179"/>
    <mergeCell ref="AB44:AD44"/>
    <mergeCell ref="AU79:AW79"/>
    <mergeCell ref="AT78:AX78"/>
    <mergeCell ref="AM78:AO78"/>
    <mergeCell ref="AY83:BA83"/>
    <mergeCell ref="AM83:AO83"/>
    <mergeCell ref="AQ83:AS83"/>
    <mergeCell ref="M162:V162"/>
    <mergeCell ref="AI159:AL159"/>
    <mergeCell ref="I178:S178"/>
    <mergeCell ref="M159:V159"/>
    <mergeCell ref="X159:AA159"/>
    <mergeCell ref="L171:AB171"/>
    <mergeCell ref="AC171:AK171"/>
    <mergeCell ref="T181:V181"/>
    <mergeCell ref="AN161:AQ161"/>
    <mergeCell ref="AN166:AQ166"/>
    <mergeCell ref="AU65:AW65"/>
    <mergeCell ref="AM46:AO46"/>
    <mergeCell ref="AQ46:AS46"/>
    <mergeCell ref="AU46:AW46"/>
    <mergeCell ref="AY48:BA48"/>
    <mergeCell ref="AM49:AO49"/>
    <mergeCell ref="AY65:BA65"/>
    <mergeCell ref="AQ64:AS64"/>
    <mergeCell ref="AQ53:AS53"/>
    <mergeCell ref="AQ48:AS48"/>
    <mergeCell ref="AM59:AO59"/>
    <mergeCell ref="AM51:AO51"/>
    <mergeCell ref="AY59:BA59"/>
    <mergeCell ref="AQ62:AS62"/>
    <mergeCell ref="AU62:AW62"/>
    <mergeCell ref="AU69:AW69"/>
    <mergeCell ref="AM68:AO68"/>
    <mergeCell ref="AQ68:AS68"/>
    <mergeCell ref="AB79:AD79"/>
    <mergeCell ref="AB80:AD80"/>
    <mergeCell ref="AQ69:AS69"/>
    <mergeCell ref="AM66:AO66"/>
    <mergeCell ref="AQ66:AS66"/>
    <mergeCell ref="AY72:BA72"/>
    <mergeCell ref="AU82:AW82"/>
    <mergeCell ref="AY82:BA82"/>
    <mergeCell ref="AU81:AW81"/>
    <mergeCell ref="AU83:AW83"/>
    <mergeCell ref="AY80:BA80"/>
    <mergeCell ref="AY78:BA78"/>
    <mergeCell ref="AY79:BA79"/>
    <mergeCell ref="AB67:AD67"/>
    <mergeCell ref="I277:P277"/>
    <mergeCell ref="W277:Z277"/>
    <mergeCell ref="AB220:AD220"/>
    <mergeCell ref="T85:V85"/>
    <mergeCell ref="X85:Z85"/>
    <mergeCell ref="AB85:AD85"/>
    <mergeCell ref="AF88:AH88"/>
    <mergeCell ref="T209:V209"/>
    <mergeCell ref="T210:V210"/>
    <mergeCell ref="I205:S205"/>
    <mergeCell ref="J83:S83"/>
    <mergeCell ref="J82:S82"/>
    <mergeCell ref="I85:S85"/>
    <mergeCell ref="J91:S91"/>
    <mergeCell ref="Q254:T254"/>
    <mergeCell ref="V254:Y254"/>
    <mergeCell ref="AA253:AD253"/>
    <mergeCell ref="AD98:AW98"/>
    <mergeCell ref="AS166:AV166"/>
    <mergeCell ref="AI161:AL161"/>
    <mergeCell ref="AN159:AQ159"/>
    <mergeCell ref="X156:AA157"/>
    <mergeCell ref="X182:Z182"/>
    <mergeCell ref="I134:M134"/>
    <mergeCell ref="Z106:AA106"/>
    <mergeCell ref="X204:Z204"/>
    <mergeCell ref="U135:Y135"/>
    <mergeCell ref="O117:S117"/>
    <mergeCell ref="O116:S116"/>
    <mergeCell ref="U138:Y138"/>
    <mergeCell ref="AI118:AM118"/>
    <mergeCell ref="O114:S114"/>
    <mergeCell ref="J206:S206"/>
    <mergeCell ref="AI202:AR202"/>
    <mergeCell ref="T202:V202"/>
    <mergeCell ref="T178:V178"/>
    <mergeCell ref="X178:Z178"/>
    <mergeCell ref="AB178:AD178"/>
    <mergeCell ref="X179:Z179"/>
    <mergeCell ref="AI166:AL166"/>
    <mergeCell ref="T66:V66"/>
    <mergeCell ref="AB65:AD65"/>
    <mergeCell ref="AU64:AW64"/>
    <mergeCell ref="AY63:BA63"/>
    <mergeCell ref="AY61:BA61"/>
    <mergeCell ref="AM61:AO61"/>
    <mergeCell ref="AQ61:AS61"/>
    <mergeCell ref="AU61:AW61"/>
    <mergeCell ref="T67:V67"/>
    <mergeCell ref="T63:V63"/>
    <mergeCell ref="T64:V64"/>
    <mergeCell ref="X67:Z67"/>
    <mergeCell ref="AB69:AD69"/>
    <mergeCell ref="AB70:AD70"/>
    <mergeCell ref="AM65:AO65"/>
    <mergeCell ref="AQ65:AS65"/>
    <mergeCell ref="AU66:AW66"/>
    <mergeCell ref="AY74:BA74"/>
    <mergeCell ref="AQ74:AS74"/>
    <mergeCell ref="AM70:AO70"/>
    <mergeCell ref="AM81:AO81"/>
    <mergeCell ref="AQ81:AS81"/>
    <mergeCell ref="AF68:AH68"/>
    <mergeCell ref="AF69:AH69"/>
    <mergeCell ref="DS51:DV51"/>
    <mergeCell ref="AV277:AY277"/>
    <mergeCell ref="AS236:AU236"/>
    <mergeCell ref="AS206:AU206"/>
    <mergeCell ref="T220:V220"/>
    <mergeCell ref="T215:V215"/>
    <mergeCell ref="T207:V207"/>
    <mergeCell ref="AI207:AR207"/>
    <mergeCell ref="AW213:AY213"/>
    <mergeCell ref="X166:AA166"/>
    <mergeCell ref="X164:AA164"/>
    <mergeCell ref="M164:V164"/>
    <mergeCell ref="I162:K162"/>
    <mergeCell ref="AB88:AD88"/>
    <mergeCell ref="T83:V83"/>
    <mergeCell ref="X83:Z83"/>
    <mergeCell ref="AB83:AD83"/>
    <mergeCell ref="AF83:AH83"/>
    <mergeCell ref="T82:V82"/>
    <mergeCell ref="X82:Z82"/>
    <mergeCell ref="X206:Z206"/>
    <mergeCell ref="AU53:AW53"/>
    <mergeCell ref="AM80:AO80"/>
    <mergeCell ref="AQ80:AS80"/>
    <mergeCell ref="AM77:BA77"/>
    <mergeCell ref="AQ72:AS72"/>
    <mergeCell ref="AU63:AW63"/>
    <mergeCell ref="AM62:AO62"/>
    <mergeCell ref="AF66:AH66"/>
    <mergeCell ref="T77:AH77"/>
    <mergeCell ref="AF95:AH95"/>
    <mergeCell ref="AQ95:AS95"/>
    <mergeCell ref="AS162:AV162"/>
    <mergeCell ref="AI163:AL163"/>
    <mergeCell ref="AN163:AQ163"/>
    <mergeCell ref="AS163:AV163"/>
    <mergeCell ref="AN162:AQ162"/>
    <mergeCell ref="AI162:AL162"/>
    <mergeCell ref="M161:V161"/>
    <mergeCell ref="AD161:AG161"/>
    <mergeCell ref="AG141:AK141"/>
    <mergeCell ref="T201:V201"/>
    <mergeCell ref="DS50:DV50"/>
    <mergeCell ref="I278:J278"/>
    <mergeCell ref="K278:AD278"/>
    <mergeCell ref="AG279:AQ279"/>
    <mergeCell ref="T186:V186"/>
    <mergeCell ref="X186:Z186"/>
    <mergeCell ref="AB186:AD186"/>
    <mergeCell ref="J185:S185"/>
    <mergeCell ref="T185:V185"/>
    <mergeCell ref="AB185:AD185"/>
    <mergeCell ref="AH251:BC254"/>
    <mergeCell ref="AF81:AH81"/>
    <mergeCell ref="AB209:AD209"/>
    <mergeCell ref="X210:Z210"/>
    <mergeCell ref="X207:Z207"/>
    <mergeCell ref="AB210:AD210"/>
    <mergeCell ref="AH226:AR226"/>
    <mergeCell ref="AS207:AU207"/>
    <mergeCell ref="BA238:BC238"/>
    <mergeCell ref="U113:Y113"/>
    <mergeCell ref="AI201:AR201"/>
    <mergeCell ref="AA254:AD254"/>
    <mergeCell ref="K106:Y106"/>
    <mergeCell ref="U112:Y112"/>
    <mergeCell ref="T91:V91"/>
    <mergeCell ref="AB181:AD181"/>
    <mergeCell ref="I117:M117"/>
    <mergeCell ref="U133:Y133"/>
    <mergeCell ref="T194:V194"/>
    <mergeCell ref="I64:S64"/>
    <mergeCell ref="J65:S65"/>
    <mergeCell ref="J66:S66"/>
    <mergeCell ref="J69:S69"/>
    <mergeCell ref="X205:Z205"/>
    <mergeCell ref="AB203:AD203"/>
    <mergeCell ref="X201:Z201"/>
    <mergeCell ref="AI183:AR183"/>
    <mergeCell ref="AI186:AR186"/>
    <mergeCell ref="J190:S190"/>
    <mergeCell ref="X68:Z68"/>
    <mergeCell ref="X69:Z69"/>
    <mergeCell ref="X66:Z66"/>
    <mergeCell ref="AF70:AH70"/>
    <mergeCell ref="AF74:AH74"/>
    <mergeCell ref="AM64:AO64"/>
    <mergeCell ref="U142:Y142"/>
    <mergeCell ref="U143:Y143"/>
    <mergeCell ref="AI174:BB174"/>
    <mergeCell ref="K151:V151"/>
    <mergeCell ref="O113:S113"/>
    <mergeCell ref="I137:M137"/>
    <mergeCell ref="U121:Y121"/>
    <mergeCell ref="I120:M120"/>
    <mergeCell ref="O122:S122"/>
    <mergeCell ref="EJ50:EM50"/>
    <mergeCell ref="EO50:ER50"/>
    <mergeCell ref="ET50:EW50"/>
    <mergeCell ref="DK88:DR88"/>
    <mergeCell ref="DS88:DV88"/>
    <mergeCell ref="DK89:DR89"/>
    <mergeCell ref="DS89:DV89"/>
    <mergeCell ref="DK91:DR91"/>
    <mergeCell ref="DX91:EA91"/>
    <mergeCell ref="DS91:DV91"/>
    <mergeCell ref="EC51:EF51"/>
    <mergeCell ref="EO47:ER47"/>
    <mergeCell ref="ET47:EW47"/>
    <mergeCell ref="EJ48:EM48"/>
    <mergeCell ref="EO48:ER48"/>
    <mergeCell ref="DS53:DV53"/>
    <mergeCell ref="DX53:EA53"/>
    <mergeCell ref="EC53:EF53"/>
    <mergeCell ref="DK49:DR49"/>
    <mergeCell ref="EC50:EF50"/>
    <mergeCell ref="EC91:EF91"/>
    <mergeCell ref="DK87:DR87"/>
    <mergeCell ref="DX87:EA87"/>
    <mergeCell ref="EC87:EF87"/>
    <mergeCell ref="DX88:EA88"/>
    <mergeCell ref="EC88:EF88"/>
    <mergeCell ref="EJ53:EM53"/>
    <mergeCell ref="DS49:DV49"/>
    <mergeCell ref="DX49:EA49"/>
    <mergeCell ref="DK50:DR50"/>
    <mergeCell ref="DX51:EA51"/>
    <mergeCell ref="EC49:EF49"/>
    <mergeCell ref="DK53:DR53"/>
    <mergeCell ref="DK83:EF83"/>
    <mergeCell ref="DS85:DV85"/>
    <mergeCell ref="DX85:EA85"/>
    <mergeCell ref="DS87:DV87"/>
    <mergeCell ref="AY64:BA64"/>
    <mergeCell ref="AY81:BA81"/>
    <mergeCell ref="DK204:DU204"/>
    <mergeCell ref="DX204:EH204"/>
    <mergeCell ref="DX205:DZ205"/>
    <mergeCell ref="X185:Z185"/>
    <mergeCell ref="AH199:AR199"/>
    <mergeCell ref="L174:AE174"/>
    <mergeCell ref="X198:Z198"/>
    <mergeCell ref="J182:S182"/>
    <mergeCell ref="AI182:AR182"/>
    <mergeCell ref="AD166:AG166"/>
    <mergeCell ref="J181:S181"/>
    <mergeCell ref="X189:Z189"/>
    <mergeCell ref="J200:S200"/>
    <mergeCell ref="AS205:AU205"/>
    <mergeCell ref="T200:V200"/>
    <mergeCell ref="J204:S204"/>
    <mergeCell ref="X203:Z203"/>
    <mergeCell ref="X155:BA155"/>
    <mergeCell ref="AS164:AV164"/>
    <mergeCell ref="AD164:AG164"/>
    <mergeCell ref="AI164:AL164"/>
    <mergeCell ref="AD162:AG162"/>
    <mergeCell ref="AB204:AD204"/>
    <mergeCell ref="AB205:AD205"/>
    <mergeCell ref="L129:AB129"/>
    <mergeCell ref="T232:V232"/>
    <mergeCell ref="AH234:AR234"/>
    <mergeCell ref="X209:Z209"/>
    <mergeCell ref="AH213:AR213"/>
    <mergeCell ref="X227:Z227"/>
    <mergeCell ref="AB223:AD223"/>
    <mergeCell ref="X226:Z226"/>
    <mergeCell ref="T228:V228"/>
    <mergeCell ref="T229:V229"/>
    <mergeCell ref="T230:V230"/>
    <mergeCell ref="T231:V231"/>
    <mergeCell ref="AB221:AD221"/>
    <mergeCell ref="T227:V227"/>
    <mergeCell ref="K216:AD216"/>
    <mergeCell ref="J207:S207"/>
    <mergeCell ref="X161:AA161"/>
    <mergeCell ref="I166:W166"/>
    <mergeCell ref="AB225:AD225"/>
    <mergeCell ref="AB226:AD226"/>
    <mergeCell ref="T219:V219"/>
    <mergeCell ref="X187:Z187"/>
    <mergeCell ref="X181:Z181"/>
    <mergeCell ref="X183:Z183"/>
    <mergeCell ref="AB183:AD183"/>
    <mergeCell ref="T198:V198"/>
    <mergeCell ref="J186:S186"/>
    <mergeCell ref="J189:S189"/>
    <mergeCell ref="I187:S187"/>
    <mergeCell ref="T189:V189"/>
    <mergeCell ref="AN164:AQ164"/>
    <mergeCell ref="X163:AA163"/>
    <mergeCell ref="AD163:AG163"/>
    <mergeCell ref="I252:P252"/>
    <mergeCell ref="I229:S229"/>
    <mergeCell ref="J230:S230"/>
    <mergeCell ref="J231:S231"/>
    <mergeCell ref="T206:V206"/>
    <mergeCell ref="DI277:DP277"/>
    <mergeCell ref="X229:Z229"/>
    <mergeCell ref="X230:Z230"/>
    <mergeCell ref="X231:Z231"/>
    <mergeCell ref="AB228:AD228"/>
    <mergeCell ref="AB230:AD230"/>
    <mergeCell ref="AI239:BB239"/>
    <mergeCell ref="AB232:AD232"/>
    <mergeCell ref="X228:Z228"/>
    <mergeCell ref="AB207:AD207"/>
    <mergeCell ref="I248:P248"/>
    <mergeCell ref="AB202:AD202"/>
    <mergeCell ref="AU248:AX248"/>
    <mergeCell ref="Q248:T248"/>
    <mergeCell ref="V248:Y248"/>
    <mergeCell ref="AA248:AD248"/>
    <mergeCell ref="AA247:AD247"/>
    <mergeCell ref="J243:AD243"/>
    <mergeCell ref="AW234:AY234"/>
    <mergeCell ref="T236:V236"/>
    <mergeCell ref="I236:S236"/>
    <mergeCell ref="V247:Y247"/>
    <mergeCell ref="AW227:AY227"/>
    <mergeCell ref="AP247:AS247"/>
    <mergeCell ref="BA207:BC207"/>
    <mergeCell ref="I255:P255"/>
    <mergeCell ref="AZ248:BC248"/>
    <mergeCell ref="AB45:AD45"/>
    <mergeCell ref="T44:V44"/>
    <mergeCell ref="X44:Z44"/>
    <mergeCell ref="X53:Z53"/>
    <mergeCell ref="X225:Z225"/>
    <mergeCell ref="AW221:AY221"/>
    <mergeCell ref="AW222:AY222"/>
    <mergeCell ref="AS213:AU213"/>
    <mergeCell ref="T187:V187"/>
    <mergeCell ref="J188:S188"/>
    <mergeCell ref="T188:V188"/>
    <mergeCell ref="AH187:AR187"/>
    <mergeCell ref="AI190:AR190"/>
    <mergeCell ref="X199:Z199"/>
    <mergeCell ref="AH192:AR192"/>
    <mergeCell ref="AB188:AD188"/>
    <mergeCell ref="AI188:AR188"/>
    <mergeCell ref="AI189:AR189"/>
    <mergeCell ref="J183:S183"/>
    <mergeCell ref="X180:Z180"/>
    <mergeCell ref="AB180:AD180"/>
    <mergeCell ref="I184:S184"/>
    <mergeCell ref="T197:AD197"/>
    <mergeCell ref="I199:S199"/>
    <mergeCell ref="X194:Z194"/>
    <mergeCell ref="AM63:AO63"/>
    <mergeCell ref="AF59:AH59"/>
    <mergeCell ref="AF49:AH49"/>
    <mergeCell ref="AB84:AD84"/>
    <mergeCell ref="AC129:AK129"/>
    <mergeCell ref="AD99:BA100"/>
    <mergeCell ref="AI120:AM120"/>
    <mergeCell ref="J104:U104"/>
    <mergeCell ref="J86:S86"/>
    <mergeCell ref="T86:V86"/>
    <mergeCell ref="X86:Z86"/>
    <mergeCell ref="AB86:AD86"/>
    <mergeCell ref="T90:V90"/>
    <mergeCell ref="AM87:AO87"/>
    <mergeCell ref="J28:X28"/>
    <mergeCell ref="AF53:AH53"/>
    <mergeCell ref="T65:V65"/>
    <mergeCell ref="AF63:AH63"/>
    <mergeCell ref="T61:V61"/>
    <mergeCell ref="T59:V59"/>
    <mergeCell ref="J59:S59"/>
    <mergeCell ref="J60:S60"/>
    <mergeCell ref="J61:S61"/>
    <mergeCell ref="T37:V37"/>
    <mergeCell ref="X37:Z37"/>
    <mergeCell ref="AF61:AH61"/>
    <mergeCell ref="I53:S53"/>
    <mergeCell ref="T53:V53"/>
    <mergeCell ref="AB53:AD53"/>
    <mergeCell ref="T60:V60"/>
    <mergeCell ref="AF46:AH46"/>
    <mergeCell ref="AB47:AD47"/>
    <mergeCell ref="I58:S58"/>
    <mergeCell ref="J49:S49"/>
    <mergeCell ref="X59:Z59"/>
    <mergeCell ref="AB48:AD48"/>
    <mergeCell ref="T62:V62"/>
    <mergeCell ref="T42:V42"/>
    <mergeCell ref="T43:V43"/>
    <mergeCell ref="AB66:AD66"/>
    <mergeCell ref="U145:Y145"/>
    <mergeCell ref="J63:S63"/>
    <mergeCell ref="X64:Z64"/>
    <mergeCell ref="X65:Z65"/>
    <mergeCell ref="J80:S80"/>
    <mergeCell ref="K75:AD75"/>
    <mergeCell ref="X70:Z70"/>
    <mergeCell ref="I95:S95"/>
    <mergeCell ref="AF80:AH80"/>
    <mergeCell ref="I114:M114"/>
    <mergeCell ref="X89:Z89"/>
    <mergeCell ref="AB89:AD89"/>
    <mergeCell ref="AF89:AH89"/>
    <mergeCell ref="U114:Y114"/>
    <mergeCell ref="U124:Y124"/>
    <mergeCell ref="I115:M115"/>
    <mergeCell ref="AB97:AL97"/>
    <mergeCell ref="AI122:AM122"/>
    <mergeCell ref="J70:S70"/>
    <mergeCell ref="AB82:AD82"/>
    <mergeCell ref="AF84:AH84"/>
    <mergeCell ref="T80:V80"/>
    <mergeCell ref="AM79:AO79"/>
    <mergeCell ref="O115:S115"/>
    <mergeCell ref="N112:T112"/>
    <mergeCell ref="I112:M112"/>
    <mergeCell ref="J90:S90"/>
    <mergeCell ref="AF86:AH86"/>
    <mergeCell ref="J87:S87"/>
    <mergeCell ref="T87:V87"/>
    <mergeCell ref="X87:Z87"/>
    <mergeCell ref="EC37:EF37"/>
    <mergeCell ref="X40:Z40"/>
    <mergeCell ref="AF37:AH37"/>
    <mergeCell ref="AU39:AW39"/>
    <mergeCell ref="AM35:BA35"/>
    <mergeCell ref="AY37:BA37"/>
    <mergeCell ref="AF38:AH38"/>
    <mergeCell ref="AF41:AH41"/>
    <mergeCell ref="AU43:AW43"/>
    <mergeCell ref="AY39:BA39"/>
    <mergeCell ref="X57:Z57"/>
    <mergeCell ref="K54:AD54"/>
    <mergeCell ref="AF48:AH48"/>
    <mergeCell ref="J47:S47"/>
    <mergeCell ref="X47:Z47"/>
    <mergeCell ref="T176:AD176"/>
    <mergeCell ref="T78:V78"/>
    <mergeCell ref="X78:Z78"/>
    <mergeCell ref="X80:Z80"/>
    <mergeCell ref="I79:S79"/>
    <mergeCell ref="AF62:AH62"/>
    <mergeCell ref="AB63:AD63"/>
    <mergeCell ref="AB64:AD64"/>
    <mergeCell ref="AF64:AH64"/>
    <mergeCell ref="X74:Z74"/>
    <mergeCell ref="T70:V70"/>
    <mergeCell ref="T74:V74"/>
    <mergeCell ref="T68:V68"/>
    <mergeCell ref="T69:V69"/>
    <mergeCell ref="AB68:AD68"/>
    <mergeCell ref="I74:S74"/>
    <mergeCell ref="I75:J75"/>
    <mergeCell ref="EC40:EF40"/>
    <mergeCell ref="EC42:EF42"/>
    <mergeCell ref="EC43:EF43"/>
    <mergeCell ref="AB59:AD59"/>
    <mergeCell ref="AB60:AD60"/>
    <mergeCell ref="AB61:AD61"/>
    <mergeCell ref="AB62:AD62"/>
    <mergeCell ref="AM48:AO48"/>
    <mergeCell ref="AY47:BA47"/>
    <mergeCell ref="AB46:AD46"/>
    <mergeCell ref="J41:S41"/>
    <mergeCell ref="AB39:AD39"/>
    <mergeCell ref="AF58:AH58"/>
    <mergeCell ref="AQ60:AS60"/>
    <mergeCell ref="AF60:AH60"/>
    <mergeCell ref="AY46:BA46"/>
    <mergeCell ref="AM47:AO47"/>
    <mergeCell ref="AQ47:AS47"/>
    <mergeCell ref="AU47:AW47"/>
    <mergeCell ref="AF57:AH57"/>
    <mergeCell ref="AF47:AH47"/>
    <mergeCell ref="T56:AH56"/>
    <mergeCell ref="AU42:AW42"/>
    <mergeCell ref="DX39:EA39"/>
    <mergeCell ref="EC39:EF39"/>
    <mergeCell ref="AF43:AH43"/>
    <mergeCell ref="DS39:DV39"/>
    <mergeCell ref="DK39:DR39"/>
    <mergeCell ref="DS40:DV40"/>
    <mergeCell ref="AB40:AD40"/>
    <mergeCell ref="T41:V41"/>
    <mergeCell ref="AB43:AD43"/>
    <mergeCell ref="Y11:AD11"/>
    <mergeCell ref="Y13:AD13"/>
    <mergeCell ref="Y14:AD14"/>
    <mergeCell ref="Y15:AD15"/>
    <mergeCell ref="J26:X26"/>
    <mergeCell ref="J22:X22"/>
    <mergeCell ref="J16:X16"/>
    <mergeCell ref="J18:X18"/>
    <mergeCell ref="T38:V38"/>
    <mergeCell ref="X38:Z38"/>
    <mergeCell ref="I43:S43"/>
    <mergeCell ref="J42:S42"/>
    <mergeCell ref="J44:S44"/>
    <mergeCell ref="J40:S40"/>
    <mergeCell ref="X43:Z43"/>
    <mergeCell ref="AQ41:AS41"/>
    <mergeCell ref="DX40:EA40"/>
    <mergeCell ref="DK37:DR37"/>
    <mergeCell ref="DS37:DV37"/>
    <mergeCell ref="AQ36:AS36"/>
    <mergeCell ref="AY36:BA36"/>
    <mergeCell ref="AM38:AO38"/>
    <mergeCell ref="AQ38:AS38"/>
    <mergeCell ref="AU38:AW38"/>
    <mergeCell ref="DS38:DV38"/>
    <mergeCell ref="T35:AH35"/>
    <mergeCell ref="AB37:AD37"/>
    <mergeCell ref="AB38:AD38"/>
    <mergeCell ref="X36:Z36"/>
    <mergeCell ref="T36:V36"/>
    <mergeCell ref="Y28:AD28"/>
    <mergeCell ref="K31:AA31"/>
    <mergeCell ref="BH29:BV29"/>
    <mergeCell ref="AM27:BA31"/>
    <mergeCell ref="Y27:AD27"/>
    <mergeCell ref="AF36:AH36"/>
    <mergeCell ref="AF39:AH39"/>
    <mergeCell ref="AF40:AH40"/>
    <mergeCell ref="AL33:BE33"/>
    <mergeCell ref="K33:AD33"/>
    <mergeCell ref="J5:Z5"/>
    <mergeCell ref="J21:X21"/>
    <mergeCell ref="I11:X11"/>
    <mergeCell ref="I10:X10"/>
    <mergeCell ref="Y20:AD20"/>
    <mergeCell ref="DK40:DR40"/>
    <mergeCell ref="AU41:AW41"/>
    <mergeCell ref="BH24:BV24"/>
    <mergeCell ref="BH28:BV28"/>
    <mergeCell ref="J14:X14"/>
    <mergeCell ref="Y12:AD12"/>
    <mergeCell ref="K7:AB7"/>
    <mergeCell ref="Y10:AD10"/>
    <mergeCell ref="X9:AE9"/>
    <mergeCell ref="Y21:AD21"/>
    <mergeCell ref="Y17:AD17"/>
    <mergeCell ref="J12:X12"/>
    <mergeCell ref="J13:X13"/>
    <mergeCell ref="BH21:BV21"/>
    <mergeCell ref="BH25:BV25"/>
    <mergeCell ref="BG20:BV20"/>
    <mergeCell ref="Y23:AD23"/>
    <mergeCell ref="J15:X15"/>
    <mergeCell ref="J23:X23"/>
    <mergeCell ref="AQ37:AS37"/>
    <mergeCell ref="AU37:AW37"/>
    <mergeCell ref="X42:Z42"/>
    <mergeCell ref="AM19:BA25"/>
    <mergeCell ref="AF45:AH45"/>
    <mergeCell ref="Y22:AD22"/>
    <mergeCell ref="AF42:AH42"/>
    <mergeCell ref="J24:X24"/>
    <mergeCell ref="Y26:AD26"/>
    <mergeCell ref="Y24:AD24"/>
    <mergeCell ref="X39:Z39"/>
    <mergeCell ref="T46:V46"/>
    <mergeCell ref="T40:V40"/>
    <mergeCell ref="AA36:AE36"/>
    <mergeCell ref="AA57:AE57"/>
    <mergeCell ref="AT57:AX57"/>
    <mergeCell ref="X41:Z41"/>
    <mergeCell ref="J27:X27"/>
    <mergeCell ref="Y25:AD25"/>
    <mergeCell ref="J25:X25"/>
    <mergeCell ref="AY38:BA38"/>
    <mergeCell ref="T48:V48"/>
    <mergeCell ref="X48:Z48"/>
    <mergeCell ref="J45:S45"/>
    <mergeCell ref="T57:V57"/>
    <mergeCell ref="AB31:AJ31"/>
    <mergeCell ref="T49:V49"/>
    <mergeCell ref="X49:Z49"/>
    <mergeCell ref="AB49:AD49"/>
    <mergeCell ref="T47:V47"/>
    <mergeCell ref="T45:V45"/>
    <mergeCell ref="X45:Z45"/>
    <mergeCell ref="ED6:ED9"/>
    <mergeCell ref="DW4:ED4"/>
    <mergeCell ref="DY6:DY9"/>
    <mergeCell ref="DZ6:DZ9"/>
    <mergeCell ref="EA6:EA9"/>
    <mergeCell ref="EB6:EB9"/>
    <mergeCell ref="EC6:EC9"/>
    <mergeCell ref="BH26:BV26"/>
    <mergeCell ref="BH27:BV27"/>
    <mergeCell ref="BH31:BV31"/>
    <mergeCell ref="BH30:BV30"/>
    <mergeCell ref="DX38:EA38"/>
    <mergeCell ref="EC38:EF38"/>
    <mergeCell ref="DK38:DR38"/>
    <mergeCell ref="DN4:DU4"/>
    <mergeCell ref="DW6:DW9"/>
    <mergeCell ref="DX6:DX9"/>
    <mergeCell ref="DQ6:DQ9"/>
    <mergeCell ref="DP6:DP9"/>
    <mergeCell ref="DO6:DO9"/>
    <mergeCell ref="DK10:DM10"/>
    <mergeCell ref="DU6:DU9"/>
    <mergeCell ref="DT6:DT9"/>
    <mergeCell ref="DS6:DS9"/>
    <mergeCell ref="DR6:DR9"/>
    <mergeCell ref="BG13:BV13"/>
    <mergeCell ref="DX37:EA37"/>
    <mergeCell ref="CZ7:DA7"/>
    <mergeCell ref="DN6:DN9"/>
    <mergeCell ref="DK33:EF33"/>
    <mergeCell ref="EC36:EF36"/>
    <mergeCell ref="CH19:CV19"/>
    <mergeCell ref="AU67:AW67"/>
    <mergeCell ref="T58:V58"/>
    <mergeCell ref="Y16:AD16"/>
    <mergeCell ref="X58:Z58"/>
    <mergeCell ref="AB58:AD58"/>
    <mergeCell ref="AD7:AE7"/>
    <mergeCell ref="AL7:BC10"/>
    <mergeCell ref="X60:Z60"/>
    <mergeCell ref="X61:Z61"/>
    <mergeCell ref="X62:Z62"/>
    <mergeCell ref="X63:Z63"/>
    <mergeCell ref="AF67:AH67"/>
    <mergeCell ref="J62:S62"/>
    <mergeCell ref="Y18:AD18"/>
    <mergeCell ref="Y19:AD19"/>
    <mergeCell ref="AF44:AH44"/>
    <mergeCell ref="AM37:AO37"/>
    <mergeCell ref="AM36:AO36"/>
    <mergeCell ref="AU58:AW58"/>
    <mergeCell ref="AB41:AD41"/>
    <mergeCell ref="AB42:AD42"/>
    <mergeCell ref="I54:J54"/>
    <mergeCell ref="T39:V39"/>
    <mergeCell ref="I37:S37"/>
    <mergeCell ref="J38:S38"/>
    <mergeCell ref="X46:Z46"/>
    <mergeCell ref="J39:S39"/>
    <mergeCell ref="J48:S48"/>
    <mergeCell ref="I46:S46"/>
    <mergeCell ref="J19:X19"/>
    <mergeCell ref="J20:X20"/>
    <mergeCell ref="I17:X17"/>
    <mergeCell ref="T79:V79"/>
    <mergeCell ref="X79:Z79"/>
    <mergeCell ref="T88:V88"/>
    <mergeCell ref="AM95:AO95"/>
    <mergeCell ref="AU74:AW74"/>
    <mergeCell ref="AY85:BA85"/>
    <mergeCell ref="AU89:AW89"/>
    <mergeCell ref="AY86:BA86"/>
    <mergeCell ref="AM85:AO85"/>
    <mergeCell ref="AQ85:AS85"/>
    <mergeCell ref="AU85:AW85"/>
    <mergeCell ref="AM74:AO74"/>
    <mergeCell ref="J84:S84"/>
    <mergeCell ref="T84:V84"/>
    <mergeCell ref="X84:Z84"/>
    <mergeCell ref="AU87:AW87"/>
    <mergeCell ref="AU84:AW84"/>
    <mergeCell ref="AU91:AW91"/>
    <mergeCell ref="AU95:AW95"/>
    <mergeCell ref="T81:V81"/>
    <mergeCell ref="X81:Z81"/>
    <mergeCell ref="AB81:AD81"/>
    <mergeCell ref="AA78:AE78"/>
    <mergeCell ref="AF90:AH90"/>
    <mergeCell ref="J81:S81"/>
    <mergeCell ref="AF79:AH79"/>
    <mergeCell ref="AB74:AD74"/>
    <mergeCell ref="AB87:AD87"/>
    <mergeCell ref="AF87:AH87"/>
    <mergeCell ref="AU80:AW80"/>
    <mergeCell ref="FK10:FP10"/>
    <mergeCell ref="FK13:FQ13"/>
    <mergeCell ref="FK11:FP11"/>
    <mergeCell ref="FK14:FQ14"/>
    <mergeCell ref="EL23:ES23"/>
    <mergeCell ref="ET23:EW23"/>
    <mergeCell ref="EY23:FB23"/>
    <mergeCell ref="DQ112:DU112"/>
    <mergeCell ref="AN112:AT112"/>
    <mergeCell ref="I88:S88"/>
    <mergeCell ref="AM84:AO84"/>
    <mergeCell ref="AQ84:AS84"/>
    <mergeCell ref="AM90:AO90"/>
    <mergeCell ref="AQ90:AS90"/>
    <mergeCell ref="AQ91:AS91"/>
    <mergeCell ref="AQ87:AS87"/>
    <mergeCell ref="AU86:AW86"/>
    <mergeCell ref="AQ88:AS88"/>
    <mergeCell ref="AU88:AW88"/>
    <mergeCell ref="AM91:AO91"/>
    <mergeCell ref="AY93:BA93"/>
    <mergeCell ref="AY89:BA89"/>
    <mergeCell ref="AY90:BA90"/>
    <mergeCell ref="AM86:AO86"/>
    <mergeCell ref="AQ86:AS86"/>
    <mergeCell ref="AU90:AW90"/>
    <mergeCell ref="AY84:BA84"/>
    <mergeCell ref="J89:S89"/>
    <mergeCell ref="T89:V89"/>
    <mergeCell ref="X90:Z90"/>
    <mergeCell ref="I96:J96"/>
    <mergeCell ref="K96:AD96"/>
    <mergeCell ref="AO118:AS118"/>
    <mergeCell ref="AI116:AM116"/>
    <mergeCell ref="AQ51:AS51"/>
    <mergeCell ref="AU51:AW51"/>
    <mergeCell ref="AY51:BA51"/>
    <mergeCell ref="AU48:AW48"/>
    <mergeCell ref="AY58:BA58"/>
    <mergeCell ref="AM58:AO58"/>
    <mergeCell ref="AQ58:AS58"/>
    <mergeCell ref="AM39:AO39"/>
    <mergeCell ref="AQ39:AS39"/>
    <mergeCell ref="AT36:AX36"/>
    <mergeCell ref="FD23:FG23"/>
    <mergeCell ref="AY91:BA91"/>
    <mergeCell ref="AM93:AO93"/>
    <mergeCell ref="AQ93:AS93"/>
    <mergeCell ref="AU93:AW93"/>
    <mergeCell ref="AM97:AO97"/>
    <mergeCell ref="AI115:AM115"/>
    <mergeCell ref="AQ82:AS82"/>
    <mergeCell ref="AY88:BA88"/>
    <mergeCell ref="AM88:AO88"/>
    <mergeCell ref="AM89:AO89"/>
    <mergeCell ref="AO116:AS116"/>
    <mergeCell ref="AI112:AM112"/>
    <mergeCell ref="AO113:AS113"/>
    <mergeCell ref="AI114:AM114"/>
    <mergeCell ref="AO114:AS114"/>
    <mergeCell ref="AQ79:AS79"/>
    <mergeCell ref="AI117:AM117"/>
    <mergeCell ref="AO117:AS117"/>
    <mergeCell ref="AI113:AM113"/>
    <mergeCell ref="AO120:AS120"/>
    <mergeCell ref="AW178:AY178"/>
    <mergeCell ref="AX166:BA166"/>
    <mergeCell ref="AN139:AR139"/>
    <mergeCell ref="BA178:BC178"/>
    <mergeCell ref="DI168:DM168"/>
    <mergeCell ref="DK114:DO114"/>
    <mergeCell ref="DQ114:DU114"/>
    <mergeCell ref="AW107:AY107"/>
    <mergeCell ref="DK112:DO112"/>
    <mergeCell ref="AU97:AW97"/>
    <mergeCell ref="AQ89:AS89"/>
    <mergeCell ref="AG139:AK139"/>
    <mergeCell ref="AW210:AY210"/>
    <mergeCell ref="AI203:AR203"/>
    <mergeCell ref="AI224:AR224"/>
    <mergeCell ref="AI204:AR204"/>
    <mergeCell ref="AY95:BA95"/>
    <mergeCell ref="AY97:BA97"/>
    <mergeCell ref="AS209:AU209"/>
    <mergeCell ref="AS211:AU211"/>
    <mergeCell ref="AS215:AU215"/>
    <mergeCell ref="BA224:BC224"/>
    <mergeCell ref="AO122:AS122"/>
    <mergeCell ref="AJ125:AZ125"/>
    <mergeCell ref="AN138:AR138"/>
    <mergeCell ref="AN136:AR136"/>
    <mergeCell ref="AO121:AS121"/>
    <mergeCell ref="AI121:AM121"/>
    <mergeCell ref="AI119:AM119"/>
    <mergeCell ref="AS203:AU203"/>
    <mergeCell ref="AW183:AY183"/>
    <mergeCell ref="BA230:BC230"/>
    <mergeCell ref="AV274:AY274"/>
    <mergeCell ref="AH248:AO248"/>
    <mergeCell ref="AI228:AR228"/>
    <mergeCell ref="AH229:AR229"/>
    <mergeCell ref="AI211:AR211"/>
    <mergeCell ref="AH215:AR215"/>
    <mergeCell ref="AH220:AR220"/>
    <mergeCell ref="AI221:AR221"/>
    <mergeCell ref="AI225:AR225"/>
    <mergeCell ref="BA236:BC236"/>
    <mergeCell ref="AW232:AY232"/>
    <mergeCell ref="AV272:AY272"/>
    <mergeCell ref="AW211:AY211"/>
    <mergeCell ref="AG238:AQ238"/>
    <mergeCell ref="K245:AH245"/>
    <mergeCell ref="J224:S224"/>
    <mergeCell ref="I215:S215"/>
    <mergeCell ref="I220:S220"/>
    <mergeCell ref="AS228:AU228"/>
    <mergeCell ref="BA211:BC211"/>
    <mergeCell ref="AS220:AU220"/>
    <mergeCell ref="AS221:AU221"/>
    <mergeCell ref="AS222:AU222"/>
    <mergeCell ref="AW238:AY238"/>
    <mergeCell ref="I251:P251"/>
    <mergeCell ref="Q251:T251"/>
    <mergeCell ref="V251:Y251"/>
    <mergeCell ref="AB224:AD224"/>
    <mergeCell ref="T224:V224"/>
    <mergeCell ref="Q247:T247"/>
    <mergeCell ref="T221:V221"/>
    <mergeCell ref="AV279:AY279"/>
    <mergeCell ref="AG51:AL51"/>
    <mergeCell ref="K268:AA268"/>
    <mergeCell ref="AB268:AJ268"/>
    <mergeCell ref="K270:AD270"/>
    <mergeCell ref="AJ270:BC270"/>
    <mergeCell ref="Q272:T272"/>
    <mergeCell ref="AI227:AR227"/>
    <mergeCell ref="AI222:AR222"/>
    <mergeCell ref="AI223:AR223"/>
    <mergeCell ref="DK197:DM197"/>
    <mergeCell ref="DO197:DQ197"/>
    <mergeCell ref="DS197:DU197"/>
    <mergeCell ref="X232:Z232"/>
    <mergeCell ref="X236:Z236"/>
    <mergeCell ref="Q255:T255"/>
    <mergeCell ref="AB229:AD229"/>
    <mergeCell ref="BA225:BC225"/>
    <mergeCell ref="L264:AY264"/>
    <mergeCell ref="BA226:BC226"/>
    <mergeCell ref="BA227:BC227"/>
    <mergeCell ref="AH205:AR205"/>
    <mergeCell ref="AI206:AR206"/>
    <mergeCell ref="AW226:AY226"/>
    <mergeCell ref="AS219:AU219"/>
    <mergeCell ref="BA220:BC220"/>
    <mergeCell ref="AS230:AU230"/>
    <mergeCell ref="AS223:AU223"/>
    <mergeCell ref="AS224:AU224"/>
    <mergeCell ref="AS225:AU225"/>
    <mergeCell ref="BA222:BC222"/>
    <mergeCell ref="AS226:AU226"/>
    <mergeCell ref="EV274:EZ274"/>
    <mergeCell ref="EM204:EQ204"/>
    <mergeCell ref="BA228:BC228"/>
    <mergeCell ref="EH273:EO273"/>
    <mergeCell ref="EP273:ES273"/>
    <mergeCell ref="EV273:EZ273"/>
    <mergeCell ref="EP272:ES272"/>
    <mergeCell ref="EV272:EZ272"/>
    <mergeCell ref="DI261:DL261"/>
    <mergeCell ref="DI262:DL262"/>
    <mergeCell ref="DI263:DL263"/>
    <mergeCell ref="DI270:ED270"/>
    <mergeCell ref="DI273:DU273"/>
    <mergeCell ref="DV273:DY273"/>
    <mergeCell ref="AG93:AL93"/>
    <mergeCell ref="AG72:AL72"/>
    <mergeCell ref="K262:AN262"/>
    <mergeCell ref="L266:AZ266"/>
    <mergeCell ref="DV272:DY272"/>
    <mergeCell ref="AI210:AR210"/>
    <mergeCell ref="EB205:ED205"/>
    <mergeCell ref="AU247:AX247"/>
    <mergeCell ref="AB198:AD198"/>
    <mergeCell ref="DH197:DJ197"/>
    <mergeCell ref="AZ247:BC247"/>
    <mergeCell ref="AV273:AY273"/>
    <mergeCell ref="BA229:BC229"/>
    <mergeCell ref="BA231:BC231"/>
    <mergeCell ref="AW215:AY215"/>
    <mergeCell ref="AS210:AU210"/>
    <mergeCell ref="AS231:AU231"/>
    <mergeCell ref="AW231:AY231"/>
    <mergeCell ref="DP283:DT283"/>
    <mergeCell ref="DU283:DX283"/>
    <mergeCell ref="I273:V273"/>
    <mergeCell ref="I274:V274"/>
    <mergeCell ref="AH273:AU273"/>
    <mergeCell ref="AH274:AU274"/>
    <mergeCell ref="W273:Z273"/>
    <mergeCell ref="W274:Z274"/>
    <mergeCell ref="DK45:EF45"/>
    <mergeCell ref="DS47:DV47"/>
    <mergeCell ref="DX47:EA47"/>
    <mergeCell ref="EC47:EF47"/>
    <mergeCell ref="DP280:DX280"/>
    <mergeCell ref="DP281:DT281"/>
    <mergeCell ref="DU281:DX281"/>
    <mergeCell ref="DI274:DU274"/>
    <mergeCell ref="DI280:DM280"/>
    <mergeCell ref="EF185:EH185"/>
    <mergeCell ref="DH185:DJ185"/>
    <mergeCell ref="DK48:DR48"/>
    <mergeCell ref="DS48:DV48"/>
    <mergeCell ref="DX48:EA48"/>
    <mergeCell ref="EC48:EF48"/>
    <mergeCell ref="EH274:EO274"/>
    <mergeCell ref="V255:Y255"/>
    <mergeCell ref="W272:Z272"/>
    <mergeCell ref="BA234:BC234"/>
    <mergeCell ref="X208:Z208"/>
    <mergeCell ref="DI282:DM282"/>
    <mergeCell ref="DV274:DY274"/>
    <mergeCell ref="AJ281:BC282"/>
    <mergeCell ref="DU282:DX282"/>
  </mergeCells>
  <phoneticPr fontId="26" type="noConversion"/>
  <conditionalFormatting sqref="AD98:AW98 AI239:BB239 K192:AD192 K96:Y100 K54:AD55 Z96:AA98 K278:AD278 AB96:AD96 K195:S198 T217:AD217 T195:AD196 K216:AD216 K217:S219 K237:AD238 AJ280:BC280">
    <cfRule type="expression" dxfId="97" priority="131" stopIfTrue="1">
      <formula>I54=N.D.</formula>
    </cfRule>
  </conditionalFormatting>
  <conditionalFormatting sqref="AD99 AJ281:BC282 FW88:GP112">
    <cfRule type="expression" dxfId="96" priority="132" stopIfTrue="1">
      <formula>AB88=N.A.</formula>
    </cfRule>
  </conditionalFormatting>
  <conditionalFormatting sqref="J125 AH149:AH151">
    <cfRule type="expression" dxfId="95" priority="133" stopIfTrue="1">
      <formula>I125=N.D.</formula>
    </cfRule>
  </conditionalFormatting>
  <conditionalFormatting sqref="AV273:AY275">
    <cfRule type="expression" dxfId="94" priority="135" stopIfTrue="1">
      <formula>LEN(TRIM(AV273))&gt;0</formula>
    </cfRule>
    <cfRule type="expression" dxfId="93" priority="136" stopIfTrue="1">
      <formula>$AB$268=menu_outil</formula>
    </cfRule>
  </conditionalFormatting>
  <conditionalFormatting sqref="AC171 AD153 AC129 AB268 AB31 AW107">
    <cfRule type="expression" dxfId="92" priority="137" stopIfTrue="1">
      <formula>LEN(TRIM(AB31))&gt;0</formula>
    </cfRule>
  </conditionalFormatting>
  <conditionalFormatting sqref="AT279 AV279:AY279">
    <cfRule type="expression" dxfId="91" priority="139" stopIfTrue="1">
      <formula>$AB$268=menu_outil</formula>
    </cfRule>
  </conditionalFormatting>
  <conditionalFormatting sqref="AI280">
    <cfRule type="expression" dxfId="90" priority="140" stopIfTrue="1">
      <formula>$AB$268&lt;&gt;menu_outil</formula>
    </cfRule>
  </conditionalFormatting>
  <conditionalFormatting sqref="AS238:AU238 AW238:AY238 BA238:BC238">
    <cfRule type="expression" dxfId="89" priority="141" stopIfTrue="1">
      <formula>$AB$31=menu_outil</formula>
    </cfRule>
  </conditionalFormatting>
  <conditionalFormatting sqref="AI148:BB148 BA125:BC125">
    <cfRule type="expression" dxfId="88" priority="149" stopIfTrue="1">
      <formula>#REF!=N.D.</formula>
    </cfRule>
  </conditionalFormatting>
  <conditionalFormatting sqref="R126 O113:O122 U113:U122 Y10:Y28">
    <cfRule type="expression" dxfId="87" priority="153" stopIfTrue="1">
      <formula>LEN(TRIM(O10))&gt;0</formula>
    </cfRule>
    <cfRule type="expression" dxfId="86" priority="154" stopIfTrue="1">
      <formula>$AB$9=menu_outil</formula>
    </cfRule>
  </conditionalFormatting>
  <conditionalFormatting sqref="AC98">
    <cfRule type="expression" dxfId="85" priority="157" stopIfTrue="1">
      <formula>$AB$31&lt;&gt;menu_outil</formula>
    </cfRule>
  </conditionalFormatting>
  <conditionalFormatting sqref="K75:AD75 I76:S76">
    <cfRule type="expression" dxfId="84" priority="158" stopIfTrue="1">
      <formula>#REF!=N.D.</formula>
    </cfRule>
  </conditionalFormatting>
  <conditionalFormatting sqref="AW145:BA145 AN134:AR143">
    <cfRule type="expression" dxfId="83" priority="430" stopIfTrue="1">
      <formula>LEN(TRIM(AN134))&gt;0</formula>
    </cfRule>
    <cfRule type="expression" dxfId="82" priority="431" stopIfTrue="1">
      <formula>$AC$129=menu_outil</formula>
    </cfRule>
  </conditionalFormatting>
  <conditionalFormatting sqref="AH148">
    <cfRule type="expression" dxfId="81" priority="434" stopIfTrue="1">
      <formula>$AC$129&lt;&gt;menu_outil</formula>
    </cfRule>
  </conditionalFormatting>
  <conditionalFormatting sqref="AN147:AR147 AW147:BA147">
    <cfRule type="expression" dxfId="80" priority="435" stopIfTrue="1">
      <formula>$AC$129=menu_outil</formula>
    </cfRule>
  </conditionalFormatting>
  <conditionalFormatting sqref="I158:K164 M158:V164 AD158:AG164 AI158:AL164 AN158:AQ164 AS158:AV164 X158:AA164">
    <cfRule type="expression" dxfId="79" priority="666" stopIfTrue="1">
      <formula>LEN(TRIM(I158))&gt;0</formula>
    </cfRule>
    <cfRule type="expression" dxfId="78" priority="667" stopIfTrue="1">
      <formula>$AD$153="Non"</formula>
    </cfRule>
  </conditionalFormatting>
  <conditionalFormatting sqref="AC240:AF240">
    <cfRule type="expression" dxfId="77" priority="811" stopIfTrue="1">
      <formula>$AC$171=menu_outil</formula>
    </cfRule>
  </conditionalFormatting>
  <conditionalFormatting sqref="AH239">
    <cfRule type="expression" dxfId="76" priority="815" stopIfTrue="1">
      <formula>$AC$171&lt;&gt;menu_outil</formula>
    </cfRule>
  </conditionalFormatting>
  <conditionalFormatting sqref="AS200:AU204 AS206:AU207 AS209:AU211 AW200:AY204 AW206:AY207 AW209:AY211 BA200:BC204 BA206:BC207 BA209:BC211 AS179:AU183 AS185:AU186 AW188:AY190 AW179:AY183 AW185:AY186 BA188:BC190 BA179:BC183 BA185:BC186 AS188:AU190 AW192:AY192 BA192:BC192 AS192:AU192 AW213:AY213 BA213:BC213 AS213:AU213">
    <cfRule type="expression" dxfId="75" priority="816" stopIfTrue="1">
      <formula>LEN(TRIM(AS179))&gt;0</formula>
    </cfRule>
    <cfRule type="expression" dxfId="74" priority="817" stopIfTrue="1">
      <formula>$AC$171=menu_outil</formula>
    </cfRule>
  </conditionalFormatting>
  <conditionalFormatting sqref="AM38:AO42 AM44:AO45 AM47:AO49 AM51:AO51 AU38:AW42 AU44:AW45 AU47:AW49 AU51:AW51 AY38:BA42 AY44:BA45 AY47:BA49 AY51:BA51 AQ38:AS42 AQ44:AS45 AQ47:AS49 AQ51:AS51 AM59:AO63 AM65:AO66 AM68:AO70 AM72:AO72 AU59:AW63 AU65:AW66 AU68:AW70 AU72:AW72 AY59:BA63 AY65:BA66 AY68:BA70 AY72:BA72 AQ59:AS63 AQ65:AS66 AQ68:AS70 AQ72:AS72">
    <cfRule type="expression" dxfId="73" priority="117" stopIfTrue="1">
      <formula>LEN(TRIM(AM38))&gt;0</formula>
    </cfRule>
    <cfRule type="expression" dxfId="72" priority="118" stopIfTrue="1">
      <formula>$AB$31=menu_outil</formula>
    </cfRule>
  </conditionalFormatting>
  <conditionalFormatting sqref="AM27:BA31">
    <cfRule type="expression" dxfId="71" priority="18">
      <formula>$AB$31=menu_outil</formula>
    </cfRule>
  </conditionalFormatting>
  <conditionalFormatting sqref="AJ125">
    <cfRule type="expression" dxfId="70" priority="1150" stopIfTrue="1">
      <formula>AI125=N.D.</formula>
    </cfRule>
  </conditionalFormatting>
  <conditionalFormatting sqref="Q248:T255">
    <cfRule type="expression" dxfId="69" priority="15">
      <formula>LEN(TRIM(Q248))&gt;0</formula>
    </cfRule>
  </conditionalFormatting>
  <conditionalFormatting sqref="V248:Y255">
    <cfRule type="expression" dxfId="68" priority="16">
      <formula>LEN(TRIM(V248))&gt;0</formula>
    </cfRule>
  </conditionalFormatting>
  <conditionalFormatting sqref="AP248:AS248">
    <cfRule type="expression" dxfId="67" priority="12">
      <formula>LEN(TRIM(AP248))&gt;0</formula>
    </cfRule>
  </conditionalFormatting>
  <conditionalFormatting sqref="AU248">
    <cfRule type="expression" dxfId="66" priority="14">
      <formula>LEN(TRIM(AU248))&gt;0</formula>
    </cfRule>
  </conditionalFormatting>
  <conditionalFormatting sqref="AH251">
    <cfRule type="expression" dxfId="65" priority="13">
      <formula>LEN(TRIM(AH251))&gt;0</formula>
    </cfRule>
  </conditionalFormatting>
  <conditionalFormatting sqref="CW15:CW19 CW21:CW31">
    <cfRule type="expression" dxfId="64" priority="8" stopIfTrue="1">
      <formula>LEN(TRIM(CW15))&gt;0</formula>
    </cfRule>
    <cfRule type="expression" dxfId="63" priority="9" stopIfTrue="1">
      <formula>$AB$9=menu_outil</formula>
    </cfRule>
  </conditionalFormatting>
  <conditionalFormatting sqref="CV7">
    <cfRule type="expression" dxfId="62" priority="7" stopIfTrue="1">
      <formula>LEN(TRIM(CV7))&gt;0</formula>
    </cfRule>
  </conditionalFormatting>
  <conditionalFormatting sqref="AO113:AS122">
    <cfRule type="expression" dxfId="61" priority="1199" stopIfTrue="1">
      <formula>LEN(TRIM(AO113))&gt;0</formula>
    </cfRule>
    <cfRule type="expression" dxfId="60" priority="1200" stopIfTrue="1">
      <formula>$AW$107="non"</formula>
    </cfRule>
  </conditionalFormatting>
  <conditionalFormatting sqref="CW13">
    <cfRule type="expression" dxfId="59" priority="5" stopIfTrue="1">
      <formula>LEN(TRIM(CW13))&gt;0</formula>
    </cfRule>
    <cfRule type="expression" dxfId="58" priority="6" stopIfTrue="1">
      <formula>$AB$9=menu_outil</formula>
    </cfRule>
  </conditionalFormatting>
  <conditionalFormatting sqref="CW14">
    <cfRule type="expression" dxfId="57" priority="3" stopIfTrue="1">
      <formula>LEN(TRIM(CW14))&gt;0</formula>
    </cfRule>
    <cfRule type="expression" dxfId="56" priority="4" stopIfTrue="1">
      <formula>$AB$9=menu_outil</formula>
    </cfRule>
  </conditionalFormatting>
  <conditionalFormatting sqref="CW20">
    <cfRule type="expression" dxfId="55" priority="1" stopIfTrue="1">
      <formula>LEN(TRIM(CW20))&gt;0</formula>
    </cfRule>
    <cfRule type="expression" dxfId="54" priority="2" stopIfTrue="1">
      <formula>$AB$9=menu_outil</formula>
    </cfRule>
  </conditionalFormatting>
  <dataValidations count="3">
    <dataValidation type="list" allowBlank="1" showInputMessage="1" showErrorMessage="1" sqref="AC171 AC129 AB31 AB268" xr:uid="{00000000-0002-0000-0300-000000000000}">
      <formula1>deroulant_outil_utilisateur</formula1>
    </dataValidation>
    <dataValidation type="list" allowBlank="1" showErrorMessage="1" sqref="AD153:AF153 AW107:AY107 CV7:CX7" xr:uid="{00000000-0002-0000-0300-000001000000}">
      <formula1>deroulant_oui_non</formula1>
    </dataValidation>
    <dataValidation type="decimal" operator="greaterThan" allowBlank="1" showInputMessage="1" showErrorMessage="1" errorTitle="Donnée non valide" error="Votre saisie doit répondre aux conditions suivantes : _x000a_- Être un chiffre_x000a_- Être supérieur ou égal à zéro_x000a_- Ne pas contenir d'unité" sqref="AQ59:AQ63 AU248:AX248 AP248:AS248 V248:Y255 Q248:T255 BA213:BC213 AW213:AY213 AS213:AU213 BA209:BC211 AW209:AY211 AS209:AU211 BA206:BC207 AW206:AY207 AS206:AU207 BA200:BC204 AW200:AY204 AS200:AU204 BA192:BC192 AW192:AY192 AS192:AU192 BA188:BC190 AW188:AY190 AS188:AU190 BA185:BC186 AW185:AY186 AS185:AU186 BA179:BC183 AW179:AY183 AS179:AU183 AS158:AV164 AN158:AQ164 AI158:AL164 AD158:AG164 X158:AA164 AW145:BA145 AN134:AR143 AV273:AY275 AO113:AS122 R126:V126 U113:Y122 O113:S122 AM38:AM42 AM47:AO49 AU44:AW45 AQ47:AS49 AQ44:AS45 AM44:AO45 Y10:AD28 AN39:AO42 AR39:AS42 AV39:AW42 AY51:BA51 AY38:AY42 AY47:BA49 AY44:BA45 AZ39:BA42 AU51:AW51 AQ51:AS51 AU38:AU42 AM51:AO51 AU47:AW49 AQ38:AQ42 AM59:AM63 AM68:AO70 AU65:AW66 AQ68:AS70 AQ65:AS66 AM65:AO66 AN60:AO63 AR60:AS63 AV60:AW63 AY72:BA72 AY59:AY63 AY68:BA70 AY65:BA66 AZ60:BA63 AU72:AW72 AQ72:AS72 AU59:AU63 AM72:AO72 AU68:AW70" xr:uid="{00000000-0002-0000-0300-000002000000}">
      <formula1>-1</formula1>
    </dataValidation>
  </dataValidations>
  <hyperlinks>
    <hyperlink ref="AD7" r:id="rId1" xr:uid="{00000000-0004-0000-0300-000000000000}"/>
    <hyperlink ref="AD7:AE7" r:id="rId2" display="lien" xr:uid="{00000000-0004-0000-0300-000001000000}"/>
    <hyperlink ref="AH153" r:id="rId3" xr:uid="{00000000-0004-0000-0300-000002000000}"/>
    <hyperlink ref="AH153:AI153" r:id="rId4" display="lien" xr:uid="{00000000-0004-0000-0300-000003000000}"/>
    <hyperlink ref="AG154" r:id="rId5" display="lien" xr:uid="{00000000-0004-0000-0300-000006000000}"/>
    <hyperlink ref="AG154:AH154" r:id="rId6" display="lien" xr:uid="{00000000-0004-0000-0300-000007000000}"/>
    <hyperlink ref="Z106:AA106" r:id="rId7" display="lien" xr:uid="{00000000-0004-0000-0300-000008000000}"/>
    <hyperlink ref="CZ7:DA7" r:id="rId8" display="lien" xr:uid="{770113BB-8743-4355-8433-61080069CCAA}"/>
    <hyperlink ref="BA107:BB107" r:id="rId9" display="lien" xr:uid="{062AD4D3-F290-4A45-AE1B-F45352AEABE2}"/>
  </hyperlinks>
  <printOptions horizontalCentered="1"/>
  <pageMargins left="0.39370078740157483" right="0.39370078740157483" top="0.39370078740157483" bottom="0.39370078740157483" header="0.31496062992125984" footer="0.31496062992125984"/>
  <pageSetup scale="76" fitToHeight="0" orientation="landscape" r:id="rId10"/>
  <headerFooter alignWithMargins="0"/>
  <rowBreaks count="5" manualBreakCount="5">
    <brk id="31" min="5" max="57" man="1"/>
    <brk id="76" min="5" max="57" man="1"/>
    <brk id="175" max="16383" man="1"/>
    <brk id="217" max="16383" man="1"/>
    <brk id="257" max="16383" man="1"/>
  </rowBreaks>
  <colBreaks count="1" manualBreakCount="1">
    <brk id="7" min="1" max="296" man="1"/>
  </colBreaks>
  <ignoredErrors>
    <ignoredError sqref="BW13:BW17 BW18:CB31" unlockedFormula="1"/>
  </ignoredErrors>
  <legacy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indexed="57"/>
    <pageSetUpPr fitToPage="1"/>
  </sheetPr>
  <dimension ref="A1:JZ101"/>
  <sheetViews>
    <sheetView showGridLines="0" showRowColHeaders="0" topLeftCell="A11" workbookViewId="0">
      <selection activeCell="A11" sqref="A11"/>
    </sheetView>
  </sheetViews>
  <sheetFormatPr baseColWidth="10" defaultColWidth="3.140625" defaultRowHeight="15" x14ac:dyDescent="0.25"/>
  <cols>
    <col min="1" max="1" width="1.42578125" style="5" customWidth="1"/>
    <col min="2" max="2" width="1" style="5" customWidth="1"/>
    <col min="3" max="3" width="3.140625" style="5"/>
    <col min="4" max="4" width="8.140625" style="5" customWidth="1"/>
    <col min="5" max="5" width="3.140625" style="5" customWidth="1"/>
    <col min="6" max="14" width="3.140625" style="5"/>
    <col min="15" max="28" width="3.42578125" style="5" customWidth="1"/>
    <col min="29" max="29" width="3.140625" style="5"/>
    <col min="30" max="30" width="1" style="5" customWidth="1"/>
    <col min="31" max="31" width="1.28515625" style="5" hidden="1" customWidth="1"/>
    <col min="32" max="46" width="3.140625" style="5" hidden="1" customWidth="1"/>
    <col min="47" max="47" width="3.42578125" style="5" hidden="1" customWidth="1"/>
    <col min="48" max="50" width="3.140625" style="5" hidden="1" customWidth="1"/>
    <col min="51" max="51" width="1" style="5" hidden="1" customWidth="1"/>
    <col min="52" max="52" width="3.140625" style="5" hidden="1" customWidth="1"/>
    <col min="53" max="53" width="7.7109375" style="5" hidden="1" customWidth="1"/>
    <col min="54" max="57" width="3.140625" style="5" hidden="1" customWidth="1"/>
    <col min="58" max="58" width="3" style="5" hidden="1" customWidth="1"/>
    <col min="59" max="61" width="3.140625" style="5" hidden="1" customWidth="1"/>
    <col min="62" max="62" width="9.85546875" style="5" hidden="1" customWidth="1"/>
    <col min="63" max="63" width="16" style="5" hidden="1" customWidth="1"/>
    <col min="64" max="164" width="3.140625" style="5" hidden="1" customWidth="1"/>
    <col min="165" max="165" width="6" style="5" hidden="1" customWidth="1"/>
    <col min="166" max="286" width="3.140625" style="5" hidden="1" customWidth="1"/>
    <col min="287" max="16384" width="3.140625" style="5"/>
  </cols>
  <sheetData>
    <row r="1" spans="2:92" ht="21.75" hidden="1" customHeight="1" x14ac:dyDescent="0.25"/>
    <row r="2" spans="2:92" hidden="1" x14ac:dyDescent="0.25"/>
    <row r="3" spans="2:92" ht="30" hidden="1" customHeight="1" x14ac:dyDescent="0.35">
      <c r="B3" s="9"/>
      <c r="C3" s="37" t="s">
        <v>281</v>
      </c>
      <c r="D3" s="9"/>
      <c r="E3" s="9"/>
      <c r="F3" s="9"/>
      <c r="G3" s="9"/>
      <c r="H3" s="9"/>
      <c r="I3" s="9"/>
      <c r="J3" s="9"/>
      <c r="K3" s="9"/>
      <c r="L3" s="9"/>
      <c r="M3" s="9"/>
      <c r="N3" s="9"/>
      <c r="O3" s="9"/>
      <c r="P3" s="9"/>
      <c r="Q3" s="9"/>
      <c r="R3" s="9"/>
      <c r="S3" s="9"/>
      <c r="T3" s="9"/>
      <c r="U3" s="9"/>
      <c r="V3" s="9"/>
      <c r="W3" s="9"/>
      <c r="X3" s="9"/>
      <c r="Y3" s="9"/>
      <c r="Z3" s="9"/>
      <c r="AA3" s="9"/>
      <c r="AB3" s="9"/>
      <c r="AC3" s="9"/>
      <c r="AD3" s="9"/>
    </row>
    <row r="4" spans="2:92" ht="6.75" hidden="1" customHeight="1" x14ac:dyDescent="0.35">
      <c r="B4" s="9"/>
      <c r="AD4" s="9"/>
    </row>
    <row r="5" spans="2:92" ht="23.25" hidden="1" x14ac:dyDescent="0.35">
      <c r="B5" s="9"/>
      <c r="C5" s="938" t="s">
        <v>282</v>
      </c>
      <c r="D5" s="938"/>
      <c r="E5" s="938"/>
      <c r="F5" s="938"/>
      <c r="G5" s="938"/>
      <c r="H5" s="938"/>
      <c r="I5" s="938"/>
      <c r="O5" s="1167">
        <f>gen_MRC</f>
        <v>0</v>
      </c>
      <c r="P5" s="1167"/>
      <c r="Q5" s="1167"/>
      <c r="R5" s="1167"/>
      <c r="S5" s="1167"/>
      <c r="T5" s="1167"/>
      <c r="U5" s="1167"/>
      <c r="V5" s="1167"/>
      <c r="W5" s="1167"/>
      <c r="X5" s="1167"/>
      <c r="Y5" s="1167"/>
      <c r="Z5" s="1167"/>
      <c r="AD5" s="9"/>
      <c r="AG5" s="17" t="s">
        <v>292</v>
      </c>
      <c r="AH5" s="17"/>
      <c r="AI5" s="17"/>
      <c r="AJ5" s="17"/>
      <c r="AK5" s="17"/>
      <c r="AL5" s="17"/>
      <c r="AM5" s="17"/>
      <c r="AN5" s="17"/>
      <c r="AO5" s="17"/>
      <c r="AP5" s="17"/>
      <c r="AQ5" s="17"/>
      <c r="AR5" s="17"/>
    </row>
    <row r="6" spans="2:92" ht="8.25" hidden="1" customHeight="1" x14ac:dyDescent="0.35">
      <c r="B6" s="9"/>
      <c r="C6" s="59"/>
      <c r="D6" s="59"/>
      <c r="E6" s="59"/>
      <c r="F6" s="59"/>
      <c r="G6" s="59"/>
      <c r="H6" s="59"/>
      <c r="I6" s="59"/>
      <c r="AD6" s="9"/>
    </row>
    <row r="7" spans="2:92" ht="23.25" hidden="1" x14ac:dyDescent="0.35">
      <c r="B7" s="9"/>
      <c r="C7" s="938" t="s">
        <v>283</v>
      </c>
      <c r="D7" s="938"/>
      <c r="E7" s="938"/>
      <c r="F7" s="938"/>
      <c r="G7" s="938"/>
      <c r="H7" s="938"/>
      <c r="I7" s="938"/>
      <c r="J7" s="938"/>
      <c r="K7" s="938"/>
      <c r="L7" s="938"/>
      <c r="M7" s="938"/>
      <c r="N7" s="938"/>
      <c r="O7" s="1168" t="e">
        <f>IF(gen_delegation="oui","La MRC",gen_competente)</f>
        <v>#NAME?</v>
      </c>
      <c r="P7" s="1168"/>
      <c r="Q7" s="1168"/>
      <c r="R7" s="1168"/>
      <c r="S7" s="1168"/>
      <c r="T7" s="1168"/>
      <c r="U7" s="1168"/>
      <c r="V7" s="1168"/>
      <c r="W7" s="1168"/>
      <c r="X7" s="1168"/>
      <c r="Y7" s="1168"/>
      <c r="Z7" s="1168"/>
      <c r="AD7" s="9"/>
    </row>
    <row r="8" spans="2:92" ht="23.25" hidden="1" x14ac:dyDescent="0.35">
      <c r="B8" s="9"/>
      <c r="C8" s="38">
        <v>1</v>
      </c>
      <c r="D8" s="59"/>
      <c r="E8" s="59"/>
      <c r="F8" s="59"/>
      <c r="G8" s="59"/>
      <c r="H8" s="59"/>
      <c r="I8" s="59"/>
      <c r="J8" s="59"/>
      <c r="K8" s="59"/>
      <c r="L8" s="59"/>
      <c r="M8" s="59"/>
      <c r="N8" s="59"/>
      <c r="AD8" s="9"/>
    </row>
    <row r="9" spans="2:92" ht="5.25" hidden="1" customHeight="1" x14ac:dyDescent="0.35">
      <c r="B9" s="9"/>
      <c r="C9" s="9"/>
      <c r="D9" s="9"/>
      <c r="E9" s="9"/>
      <c r="F9" s="9"/>
      <c r="G9" s="9"/>
      <c r="H9" s="9"/>
      <c r="I9" s="9"/>
      <c r="J9" s="9"/>
      <c r="K9" s="9"/>
      <c r="L9" s="9"/>
      <c r="M9" s="9"/>
      <c r="N9" s="9"/>
      <c r="O9" s="9"/>
      <c r="P9" s="9"/>
      <c r="Q9" s="9"/>
      <c r="R9" s="9"/>
      <c r="S9" s="9"/>
      <c r="T9" s="9"/>
      <c r="U9" s="9"/>
      <c r="V9" s="9"/>
      <c r="W9" s="9"/>
      <c r="X9" s="9"/>
      <c r="Y9" s="9"/>
      <c r="Z9" s="9"/>
      <c r="AA9" s="9"/>
      <c r="AB9" s="9"/>
      <c r="AC9" s="9"/>
      <c r="AD9" s="9"/>
    </row>
    <row r="10" spans="2:92" ht="21" hidden="1" x14ac:dyDescent="0.25">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row>
    <row r="12" spans="2:92" ht="30" customHeight="1" x14ac:dyDescent="0.25">
      <c r="B12" s="2"/>
      <c r="C12" s="208" t="str">
        <f>"Secteur ICI - Résultats - "&amp;gen_MRC</f>
        <v xml:space="preserve">Secteur ICI - Résultats - </v>
      </c>
      <c r="D12" s="2"/>
      <c r="E12" s="2"/>
      <c r="F12" s="2"/>
      <c r="G12" s="2"/>
      <c r="H12" s="2"/>
      <c r="I12" s="2"/>
      <c r="J12" s="2"/>
      <c r="K12" s="2"/>
      <c r="L12" s="2"/>
      <c r="M12" s="2"/>
      <c r="N12" s="2"/>
      <c r="O12" s="2"/>
      <c r="P12" s="2"/>
      <c r="Q12" s="2"/>
      <c r="R12" s="2"/>
      <c r="S12" s="2"/>
      <c r="T12" s="2"/>
      <c r="U12" s="2"/>
      <c r="V12" s="2"/>
      <c r="W12" s="2"/>
      <c r="X12" s="2"/>
      <c r="Y12" s="2"/>
      <c r="Z12" s="2"/>
      <c r="AA12" s="2"/>
      <c r="AB12" s="2"/>
      <c r="AC12" s="271" t="str">
        <f>"Version "&amp;Paramètres!$G$3</f>
        <v>Version 2022</v>
      </c>
      <c r="AD12" s="2"/>
      <c r="AE12" s="993" t="s">
        <v>294</v>
      </c>
      <c r="AF12" s="993"/>
      <c r="AG12" s="993"/>
      <c r="AH12" s="993"/>
      <c r="AI12" s="993"/>
      <c r="AJ12" s="993"/>
      <c r="AK12" s="993"/>
      <c r="AL12" s="993"/>
      <c r="AM12" s="993"/>
      <c r="AN12" s="993"/>
      <c r="AO12" s="993"/>
      <c r="AP12" s="993"/>
      <c r="AQ12" s="993"/>
      <c r="AR12" s="993"/>
      <c r="AS12" s="993"/>
      <c r="AT12" s="993"/>
      <c r="AU12" s="993"/>
      <c r="AV12" s="993"/>
      <c r="AW12" s="993"/>
      <c r="AX12" s="993"/>
      <c r="AY12" s="993"/>
      <c r="BJ12" s="93" t="s">
        <v>350</v>
      </c>
      <c r="BK12" s="5" t="s">
        <v>346</v>
      </c>
      <c r="BP12" s="17" t="s">
        <v>490</v>
      </c>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row>
    <row r="13" spans="2:92" ht="6" customHeight="1" x14ac:dyDescent="0.25">
      <c r="B13" s="2"/>
      <c r="AD13" s="2"/>
      <c r="AY13" s="40"/>
    </row>
    <row r="14" spans="2:92" ht="35.25" customHeight="1" x14ac:dyDescent="0.25">
      <c r="B14" s="2"/>
      <c r="D14" s="972" t="str">
        <f>IF(ici_utiliser_donnees=menu_utilisateur,BK14&amp;retour&amp;utilisateur,BK14&amp;retour&amp;outil)</f>
        <v>MATIÈRES RECYCLABLES
    (Données de l'outil)</v>
      </c>
      <c r="E14" s="972"/>
      <c r="F14" s="972"/>
      <c r="G14" s="972"/>
      <c r="H14" s="972"/>
      <c r="I14" s="972"/>
      <c r="J14" s="972"/>
      <c r="K14" s="972"/>
      <c r="L14" s="972"/>
      <c r="M14" s="972"/>
      <c r="N14" s="972"/>
      <c r="O14" s="971" t="str">
        <f>IF(COUNTIF(O19:AB24,N.D.)&gt;0,erreur2&amp;'Données - ICI'!I5,"")</f>
        <v>Les données ci-dessous ne peuvent pas être complétées. Vérifiez la réponse à la question 3.1.</v>
      </c>
      <c r="P14" s="971"/>
      <c r="Q14" s="971"/>
      <c r="R14" s="971"/>
      <c r="S14" s="971"/>
      <c r="T14" s="971"/>
      <c r="U14" s="971"/>
      <c r="V14" s="971"/>
      <c r="W14" s="971"/>
      <c r="X14" s="971"/>
      <c r="Y14" s="971"/>
      <c r="Z14" s="971"/>
      <c r="AA14" s="971"/>
      <c r="AB14" s="971"/>
      <c r="AD14" s="2"/>
      <c r="AF14" s="42" t="s">
        <v>300</v>
      </c>
      <c r="AG14" s="42"/>
      <c r="AH14" s="42"/>
      <c r="AI14" s="42"/>
      <c r="AJ14" s="42"/>
      <c r="AK14" s="42"/>
      <c r="AL14" s="42"/>
      <c r="AM14" s="42"/>
      <c r="AN14" s="42"/>
      <c r="AO14" s="987" t="s">
        <v>299</v>
      </c>
      <c r="AP14" s="987"/>
      <c r="AQ14" s="987"/>
      <c r="AR14" s="987"/>
      <c r="AS14" s="987"/>
      <c r="AT14" s="987"/>
      <c r="AU14" s="987"/>
      <c r="AV14" s="987"/>
      <c r="AW14" s="987"/>
      <c r="AY14" s="40"/>
      <c r="BA14" s="5" t="s">
        <v>293</v>
      </c>
      <c r="BK14" s="89" t="str">
        <f>UPPER('Données - ICI'!J5)</f>
        <v>MATIÈRES RECYCLABLES</v>
      </c>
      <c r="BP14" s="5" t="str">
        <f>IF(crd_utiliser_donnees="",erreur2&amp;'Données - CRD'!J10,IF(crd_utiliser_donnees=menu_outil,IF('Données - CRD'!U5="",erreur2&amp;'Données - CRD'!I5,""),IF('Données - CRD'!AM26="vide",erreur2&amp;'Données - CRD'!AN14,"")))</f>
        <v>Les données ci-dessous ne peuvent pas être complétées. Vérifiez la réponse à la question 4.2.1.</v>
      </c>
    </row>
    <row r="15" spans="2:92" ht="6.75" customHeight="1" x14ac:dyDescent="0.25">
      <c r="B15" s="2"/>
      <c r="D15" s="41"/>
      <c r="E15" s="41"/>
      <c r="F15" s="41"/>
      <c r="G15" s="41"/>
      <c r="H15" s="41"/>
      <c r="I15" s="69"/>
      <c r="J15" s="69"/>
      <c r="K15" s="69"/>
      <c r="L15" s="69"/>
      <c r="M15" s="69"/>
      <c r="N15" s="69"/>
      <c r="O15" s="60"/>
      <c r="P15" s="60"/>
      <c r="Q15" s="60"/>
      <c r="R15" s="60"/>
      <c r="S15" s="60"/>
      <c r="T15" s="60"/>
      <c r="U15" s="60"/>
      <c r="V15" s="60"/>
      <c r="W15" s="60"/>
      <c r="X15" s="60"/>
      <c r="Y15" s="60"/>
      <c r="Z15" s="60"/>
      <c r="AA15" s="60"/>
      <c r="AB15" s="60"/>
      <c r="AD15" s="2"/>
      <c r="AF15" s="19"/>
      <c r="AG15" s="19"/>
      <c r="AH15" s="19"/>
      <c r="AI15" s="19"/>
      <c r="AJ15" s="19"/>
      <c r="AK15" s="19"/>
      <c r="AL15" s="19"/>
      <c r="AM15" s="19"/>
      <c r="AN15" s="19"/>
      <c r="AO15" s="68"/>
      <c r="AP15" s="68"/>
      <c r="AQ15" s="68"/>
      <c r="AR15" s="68"/>
      <c r="AS15" s="68"/>
      <c r="AT15" s="68"/>
      <c r="AU15" s="68"/>
      <c r="AV15" s="68"/>
      <c r="AW15" s="68"/>
      <c r="AY15" s="40"/>
    </row>
    <row r="16" spans="2:92" ht="12.75" customHeight="1" x14ac:dyDescent="0.25">
      <c r="B16" s="2"/>
      <c r="D16" s="43"/>
      <c r="O16" s="715" t="str">
        <f>'Données - CRD'!Q16</f>
        <v>Récupéré (t)</v>
      </c>
      <c r="P16" s="715"/>
      <c r="Q16" s="715"/>
      <c r="R16" s="715"/>
      <c r="T16" s="715" t="str">
        <f>'Données - CRD'!V16</f>
        <v>Éliminé (t)</v>
      </c>
      <c r="U16" s="715"/>
      <c r="V16" s="715"/>
      <c r="W16" s="715"/>
      <c r="Y16" s="715" t="str">
        <f>'Données - CRD'!AF16</f>
        <v>Généré (t)</v>
      </c>
      <c r="Z16" s="715"/>
      <c r="AA16" s="715"/>
      <c r="AB16" s="715"/>
      <c r="AD16" s="2"/>
      <c r="AF16" s="19"/>
      <c r="AG16" s="19"/>
      <c r="AH16" s="19"/>
      <c r="AI16" s="19"/>
      <c r="AO16" s="989" t="s">
        <v>301</v>
      </c>
      <c r="AP16" s="989"/>
      <c r="AQ16" s="989"/>
      <c r="AR16" s="989"/>
      <c r="AS16" s="989"/>
      <c r="AT16" s="989"/>
      <c r="AU16" s="989"/>
      <c r="AV16" s="989"/>
      <c r="AW16" s="989"/>
      <c r="AY16" s="40"/>
    </row>
    <row r="17" spans="2:165" ht="12.75" customHeight="1" x14ac:dyDescent="0.3">
      <c r="B17" s="2"/>
      <c r="D17" s="26"/>
      <c r="O17" s="715"/>
      <c r="P17" s="715"/>
      <c r="Q17" s="715"/>
      <c r="R17" s="715"/>
      <c r="T17" s="715"/>
      <c r="U17" s="715"/>
      <c r="V17" s="715"/>
      <c r="W17" s="715"/>
      <c r="Y17" s="715"/>
      <c r="Z17" s="715"/>
      <c r="AA17" s="715"/>
      <c r="AB17" s="715"/>
      <c r="AC17" s="26"/>
      <c r="AD17" s="2"/>
      <c r="AO17" s="938" t="s">
        <v>295</v>
      </c>
      <c r="AP17" s="938"/>
      <c r="AQ17" s="938"/>
      <c r="AR17" s="938"/>
      <c r="AS17" s="938"/>
      <c r="AT17" s="938"/>
      <c r="AU17" s="44" t="s">
        <v>296</v>
      </c>
      <c r="AV17" s="44"/>
      <c r="AW17" s="44"/>
      <c r="AY17" s="40"/>
    </row>
    <row r="18" spans="2:165" ht="3.75" customHeight="1" x14ac:dyDescent="0.3">
      <c r="B18" s="2"/>
      <c r="D18" s="26"/>
      <c r="O18" s="4"/>
      <c r="P18" s="4"/>
      <c r="Q18" s="4"/>
      <c r="R18" s="4"/>
      <c r="T18" s="4"/>
      <c r="U18" s="4"/>
      <c r="V18" s="4"/>
      <c r="W18" s="4"/>
      <c r="Y18" s="4"/>
      <c r="Z18" s="4"/>
      <c r="AA18" s="4"/>
      <c r="AB18" s="4"/>
      <c r="AC18" s="26"/>
      <c r="AD18" s="2"/>
      <c r="AO18" s="45"/>
      <c r="AP18" s="45"/>
      <c r="AQ18" s="45"/>
      <c r="AR18" s="45"/>
      <c r="AS18" s="45"/>
      <c r="AT18" s="45"/>
      <c r="AU18" s="44"/>
      <c r="AV18" s="44"/>
      <c r="AW18" s="44"/>
      <c r="AY18" s="40"/>
    </row>
    <row r="19" spans="2:165" ht="22.5" customHeight="1" x14ac:dyDescent="0.25">
      <c r="B19" s="2"/>
      <c r="D19" s="992" t="str">
        <f>'Données - ICI'!DK86</f>
        <v>Papier et Carton</v>
      </c>
      <c r="E19" s="992"/>
      <c r="F19" s="992"/>
      <c r="G19" s="992"/>
      <c r="H19" s="992"/>
      <c r="I19" s="992"/>
      <c r="J19" s="992"/>
      <c r="K19" s="992"/>
      <c r="L19" s="992"/>
      <c r="M19" s="992"/>
      <c r="N19" s="992"/>
      <c r="O19" s="970" t="str">
        <f>'Données - ICI'!DS86</f>
        <v>N.D.</v>
      </c>
      <c r="P19" s="970"/>
      <c r="Q19" s="970"/>
      <c r="R19" s="970"/>
      <c r="S19" s="180"/>
      <c r="T19" s="970" t="str">
        <f>'Données - ICI'!DX86</f>
        <v>N.D.</v>
      </c>
      <c r="U19" s="970"/>
      <c r="V19" s="970"/>
      <c r="W19" s="970"/>
      <c r="X19" s="180"/>
      <c r="Y19" s="970" t="str">
        <f>IF(OR(O19=N.D.,T19=N.D.),N.D.,SUM(O19,T19))</f>
        <v>N.D.</v>
      </c>
      <c r="Z19" s="970"/>
      <c r="AA19" s="970"/>
      <c r="AB19" s="970"/>
      <c r="AC19" s="47"/>
      <c r="AD19" s="2"/>
      <c r="AF19" s="988" t="e">
        <f>IF($AO$14=Programmation!$P$8,"Toutes les alertes sont désactivées",IF($AO$14=Programmation!$P$7,IF(BA19="0",$BA$14,BA19),IF(AU19=Programmation!$M$8,"Alerte désactivée pour cette matière",IF(AU19="","Veuillez choisir si vous souhaitez désactiver cette alerte",IF(BA19="0",$BA$14,BA19)))))</f>
        <v>#REF!</v>
      </c>
      <c r="AG19" s="988"/>
      <c r="AH19" s="988"/>
      <c r="AI19" s="988"/>
      <c r="AJ19" s="988"/>
      <c r="AK19" s="988"/>
      <c r="AL19" s="988"/>
      <c r="AM19" s="988"/>
      <c r="AN19" s="988"/>
      <c r="AO19" s="988"/>
      <c r="AP19" s="988"/>
      <c r="AQ19" s="988"/>
      <c r="AR19" s="988"/>
      <c r="AS19" s="988"/>
      <c r="AT19" s="28"/>
      <c r="AU19" s="987" t="s">
        <v>304</v>
      </c>
      <c r="AV19" s="987"/>
      <c r="AW19" s="987"/>
      <c r="AY19" s="40"/>
      <c r="BA19" s="5" t="e">
        <f>'Données - CRD'!#REF!</f>
        <v>#REF!</v>
      </c>
    </row>
    <row r="20" spans="2:165" ht="22.5" customHeight="1" x14ac:dyDescent="0.25">
      <c r="B20" s="2"/>
      <c r="D20" s="992" t="str">
        <f>'Données - ICI'!DK87</f>
        <v>Métal</v>
      </c>
      <c r="E20" s="992"/>
      <c r="F20" s="992"/>
      <c r="G20" s="992"/>
      <c r="H20" s="992"/>
      <c r="I20" s="992"/>
      <c r="J20" s="992"/>
      <c r="K20" s="992"/>
      <c r="L20" s="992"/>
      <c r="M20" s="992"/>
      <c r="N20" s="992"/>
      <c r="O20" s="991" t="str">
        <f>'Données - ICI'!DS87</f>
        <v>N.D.</v>
      </c>
      <c r="P20" s="991"/>
      <c r="Q20" s="991"/>
      <c r="R20" s="991"/>
      <c r="S20" s="180"/>
      <c r="T20" s="991" t="str">
        <f>'Données - ICI'!DX87</f>
        <v>N.D.</v>
      </c>
      <c r="U20" s="991"/>
      <c r="V20" s="991"/>
      <c r="W20" s="991"/>
      <c r="X20" s="180"/>
      <c r="Y20" s="991" t="str">
        <f>IF(OR(O20=N.D.,T20=N.D.),N.D.,SUM(O20,T20))</f>
        <v>N.D.</v>
      </c>
      <c r="Z20" s="991"/>
      <c r="AA20" s="991"/>
      <c r="AB20" s="991"/>
      <c r="AC20" s="47"/>
      <c r="AD20" s="2"/>
      <c r="AF20" s="994"/>
      <c r="AG20" s="994"/>
      <c r="AH20" s="994"/>
      <c r="AI20" s="994"/>
      <c r="AJ20" s="994"/>
      <c r="AK20" s="994"/>
      <c r="AL20" s="994"/>
      <c r="AM20" s="994"/>
      <c r="AN20" s="994"/>
      <c r="AO20" s="994"/>
      <c r="AP20" s="994"/>
      <c r="AQ20" s="994"/>
      <c r="AR20" s="994"/>
      <c r="AS20" s="994"/>
      <c r="AU20" s="995"/>
      <c r="AV20" s="995"/>
      <c r="AW20" s="995"/>
      <c r="AY20" s="40"/>
    </row>
    <row r="21" spans="2:165" ht="22.5" customHeight="1" x14ac:dyDescent="0.25">
      <c r="B21" s="2"/>
      <c r="D21" s="992" t="str">
        <f>'Données - ICI'!DK88</f>
        <v>Plastique</v>
      </c>
      <c r="E21" s="992"/>
      <c r="F21" s="992"/>
      <c r="G21" s="992"/>
      <c r="H21" s="992"/>
      <c r="I21" s="992"/>
      <c r="J21" s="992"/>
      <c r="K21" s="992"/>
      <c r="L21" s="992"/>
      <c r="M21" s="992"/>
      <c r="N21" s="992"/>
      <c r="O21" s="991" t="str">
        <f>'Données - ICI'!DS88</f>
        <v>N.D.</v>
      </c>
      <c r="P21" s="991"/>
      <c r="Q21" s="991"/>
      <c r="R21" s="991"/>
      <c r="S21" s="180"/>
      <c r="T21" s="991" t="str">
        <f>'Données - ICI'!DX88</f>
        <v>N.D.</v>
      </c>
      <c r="U21" s="991"/>
      <c r="V21" s="991"/>
      <c r="W21" s="991"/>
      <c r="X21" s="180"/>
      <c r="Y21" s="991" t="str">
        <f>IF(OR(O21=N.D.,T21=N.D.),N.D.,SUM(O21,T21))</f>
        <v>N.D.</v>
      </c>
      <c r="Z21" s="991"/>
      <c r="AA21" s="991"/>
      <c r="AB21" s="991"/>
      <c r="AD21" s="2"/>
      <c r="AF21" s="988" t="e">
        <f>IF($AO$14=Programmation!$P$8,"Toutes les alertes sont désactivées",IF($AO$14=Programmation!$P$7,IF(BA21="0",$BA$14,BA21),IF(AU21=Programmation!$M$8,"Alerte désactivée pour cette matière",IF(AU21="","Veuillez choisir si vous souhaitez désactiver cette alerte",IF(BA21="0",$BA$14,BA21)))))</f>
        <v>#REF!</v>
      </c>
      <c r="AG21" s="988"/>
      <c r="AH21" s="988"/>
      <c r="AI21" s="988"/>
      <c r="AJ21" s="988"/>
      <c r="AK21" s="988"/>
      <c r="AL21" s="988"/>
      <c r="AM21" s="988"/>
      <c r="AN21" s="988"/>
      <c r="AO21" s="988"/>
      <c r="AP21" s="988"/>
      <c r="AQ21" s="988"/>
      <c r="AR21" s="988"/>
      <c r="AS21" s="988"/>
      <c r="AT21" s="28"/>
      <c r="AU21" s="987" t="s">
        <v>304</v>
      </c>
      <c r="AV21" s="987"/>
      <c r="AW21" s="987"/>
      <c r="AY21" s="40"/>
      <c r="BA21" s="5" t="e">
        <f>'Données - CRD'!#REF!</f>
        <v>#REF!</v>
      </c>
    </row>
    <row r="22" spans="2:165" ht="22.5" customHeight="1" x14ac:dyDescent="0.25">
      <c r="B22" s="2"/>
      <c r="D22" s="992" t="str">
        <f>'Données - ICI'!DK89</f>
        <v>Verre</v>
      </c>
      <c r="E22" s="992"/>
      <c r="F22" s="992"/>
      <c r="G22" s="992"/>
      <c r="H22" s="992"/>
      <c r="I22" s="992"/>
      <c r="J22" s="992"/>
      <c r="K22" s="992"/>
      <c r="L22" s="992"/>
      <c r="M22" s="992"/>
      <c r="N22" s="992"/>
      <c r="O22" s="991" t="str">
        <f>'Données - ICI'!DS89</f>
        <v>N.D.</v>
      </c>
      <c r="P22" s="991"/>
      <c r="Q22" s="991"/>
      <c r="R22" s="991"/>
      <c r="S22" s="180"/>
      <c r="T22" s="991" t="str">
        <f>'Données - ICI'!DX89</f>
        <v>N.D.</v>
      </c>
      <c r="U22" s="991"/>
      <c r="V22" s="991"/>
      <c r="W22" s="991"/>
      <c r="X22" s="180"/>
      <c r="Y22" s="991" t="str">
        <f>IF(OR(O22=N.D.,T22=N.D.),N.D.,SUM(O22,T22))</f>
        <v>N.D.</v>
      </c>
      <c r="Z22" s="991"/>
      <c r="AA22" s="991"/>
      <c r="AB22" s="991"/>
      <c r="AD22" s="2"/>
      <c r="AF22" s="988" t="e">
        <f>IF($AO$14=Programmation!$P$8,"Toutes les alertes sont désactivées",IF($AO$14=Programmation!$P$7,IF(BA22="0",$BA$14,BA22),IF(AU22=Programmation!$M$8,"Alerte désactivée pour cette matière",IF(AU22="","Veuillez choisir si vous souhaitez désactiver cette alerte",IF(BA22="0",$BA$14,BA22)))))</f>
        <v>#REF!</v>
      </c>
      <c r="AG22" s="988"/>
      <c r="AH22" s="988"/>
      <c r="AI22" s="988"/>
      <c r="AJ22" s="988"/>
      <c r="AK22" s="988"/>
      <c r="AL22" s="988"/>
      <c r="AM22" s="988"/>
      <c r="AN22" s="988"/>
      <c r="AO22" s="988"/>
      <c r="AP22" s="988"/>
      <c r="AQ22" s="988"/>
      <c r="AR22" s="988"/>
      <c r="AS22" s="988"/>
      <c r="AT22" s="31"/>
      <c r="AU22" s="987" t="s">
        <v>304</v>
      </c>
      <c r="AV22" s="987"/>
      <c r="AW22" s="987"/>
      <c r="AY22" s="40"/>
      <c r="BA22" s="5" t="e">
        <f>'Données - CRD'!#REF!</f>
        <v>#REF!</v>
      </c>
    </row>
    <row r="23" spans="2:165" ht="11.25" customHeight="1" x14ac:dyDescent="0.25">
      <c r="B23" s="2"/>
      <c r="D23" s="19"/>
      <c r="E23" s="19"/>
      <c r="F23" s="19"/>
      <c r="G23" s="19"/>
      <c r="H23" s="19"/>
      <c r="I23" s="19"/>
      <c r="J23" s="19"/>
      <c r="K23" s="19"/>
      <c r="L23" s="19"/>
      <c r="M23" s="19"/>
      <c r="N23" s="19"/>
      <c r="O23" s="81"/>
      <c r="P23" s="81"/>
      <c r="Q23" s="81"/>
      <c r="R23" s="81"/>
      <c r="S23" s="81"/>
      <c r="T23" s="81"/>
      <c r="U23" s="81"/>
      <c r="V23" s="81"/>
      <c r="W23" s="81"/>
      <c r="X23" s="81"/>
      <c r="Y23" s="81"/>
      <c r="Z23" s="81"/>
      <c r="AA23" s="81"/>
      <c r="AB23" s="81"/>
      <c r="AD23" s="2"/>
      <c r="AY23" s="40"/>
    </row>
    <row r="24" spans="2:165" ht="22.5" customHeight="1" x14ac:dyDescent="0.25">
      <c r="B24" s="2"/>
      <c r="D24" s="975" t="str">
        <f>'Données - ICI'!DK42</f>
        <v>Total</v>
      </c>
      <c r="E24" s="975"/>
      <c r="F24" s="975"/>
      <c r="G24" s="975"/>
      <c r="H24" s="975"/>
      <c r="I24" s="975"/>
      <c r="J24" s="975"/>
      <c r="K24" s="975"/>
      <c r="L24" s="975"/>
      <c r="M24" s="975"/>
      <c r="N24" s="975"/>
      <c r="O24" s="974" t="str">
        <f>IF(OR(O19=N.D.,O20=N.D.,O21=N.D.,O22=N.D.),N.D.,SUM(O19:O22))</f>
        <v>N.D.</v>
      </c>
      <c r="P24" s="974"/>
      <c r="Q24" s="974"/>
      <c r="R24" s="974"/>
      <c r="S24" s="82"/>
      <c r="T24" s="974" t="str">
        <f>IF(OR(T19=N.D.,T20=N.D.,T21=N.D.,T22=N.D.),N.D.,SUM(T19:T22))</f>
        <v>N.D.</v>
      </c>
      <c r="U24" s="974"/>
      <c r="V24" s="974"/>
      <c r="W24" s="974"/>
      <c r="X24" s="82"/>
      <c r="Y24" s="974" t="str">
        <f>IF(OR(O24=N.D.,T24=N.D.),N.D.,SUM(O24,T24))</f>
        <v>N.D.</v>
      </c>
      <c r="Z24" s="974"/>
      <c r="AA24" s="974"/>
      <c r="AB24" s="974"/>
      <c r="AC24" s="51"/>
      <c r="AD24" s="2"/>
      <c r="AS24" s="990"/>
      <c r="AT24" s="990"/>
      <c r="AY24" s="40"/>
      <c r="FI24" s="318"/>
    </row>
    <row r="25" spans="2:165" ht="23.25" x14ac:dyDescent="0.25">
      <c r="B25" s="2"/>
      <c r="AD25" s="2"/>
      <c r="AY25" s="40"/>
    </row>
    <row r="26" spans="2:165" ht="35.25" customHeight="1" x14ac:dyDescent="0.25">
      <c r="B26" s="2"/>
      <c r="D26" s="1162" t="str">
        <f>BK26</f>
        <v>MATIÈRES ORGANIQUES</v>
      </c>
      <c r="E26" s="1162"/>
      <c r="F26" s="1162"/>
      <c r="G26" s="1162"/>
      <c r="H26" s="1162"/>
      <c r="I26" s="1162"/>
      <c r="J26" s="1162"/>
      <c r="K26" s="1162"/>
      <c r="L26" s="1162"/>
      <c r="M26" s="1162"/>
      <c r="N26" s="1162"/>
      <c r="O26" s="971" t="str">
        <f>IF(AND(BJ29="",BJ31=""),"",erreur2&amp;'Données - ICI'!I104)</f>
        <v>Les données ci-dessous ne peuvent pas être complétées. Vérifiez la réponse à la question 3.2.</v>
      </c>
      <c r="P26" s="971"/>
      <c r="Q26" s="971"/>
      <c r="R26" s="971"/>
      <c r="S26" s="971"/>
      <c r="T26" s="971"/>
      <c r="U26" s="971"/>
      <c r="V26" s="971"/>
      <c r="W26" s="971"/>
      <c r="X26" s="971"/>
      <c r="Y26" s="971"/>
      <c r="Z26" s="971"/>
      <c r="AA26" s="971"/>
      <c r="AB26" s="971"/>
      <c r="AD26" s="2"/>
      <c r="AY26" s="40"/>
      <c r="BK26" s="89" t="str">
        <f>UPPER('Données - ICI'!J104)</f>
        <v>MATIÈRES ORGANIQUES</v>
      </c>
    </row>
    <row r="27" spans="2:165" ht="9" customHeight="1" x14ac:dyDescent="0.25">
      <c r="B27" s="2"/>
      <c r="AD27" s="2"/>
      <c r="AY27" s="40"/>
    </row>
    <row r="28" spans="2:165" ht="23.25" x14ac:dyDescent="0.25">
      <c r="B28" s="2"/>
      <c r="O28" s="715" t="s">
        <v>285</v>
      </c>
      <c r="P28" s="715"/>
      <c r="Q28" s="715"/>
      <c r="R28" s="715"/>
      <c r="S28" s="26"/>
      <c r="T28" s="715" t="s">
        <v>286</v>
      </c>
      <c r="U28" s="715"/>
      <c r="V28" s="715"/>
      <c r="W28" s="715"/>
      <c r="X28" s="26"/>
      <c r="Y28" s="715" t="s">
        <v>287</v>
      </c>
      <c r="Z28" s="715"/>
      <c r="AA28" s="715"/>
      <c r="AB28" s="715"/>
      <c r="AD28" s="2"/>
      <c r="AY28" s="40"/>
    </row>
    <row r="29" spans="2:165" ht="33" customHeight="1" x14ac:dyDescent="0.25">
      <c r="B29" s="2"/>
      <c r="D29" s="968" t="str">
        <f>'Données - ICI'!K106&amp;IF(ici_donnees_agroalimentaire=menu_utilisateur,utilisateur,outil)</f>
        <v>Industries de transformation agroalimentaire (Données de l'outil)</v>
      </c>
      <c r="E29" s="968"/>
      <c r="F29" s="968"/>
      <c r="G29" s="968"/>
      <c r="H29" s="968"/>
      <c r="I29" s="968"/>
      <c r="J29" s="968"/>
      <c r="K29" s="968"/>
      <c r="L29" s="968"/>
      <c r="M29" s="968"/>
      <c r="N29" s="968"/>
      <c r="O29" s="969" t="str">
        <f>'Données - ICI'!EA137</f>
        <v>N.D.</v>
      </c>
      <c r="P29" s="969"/>
      <c r="Q29" s="969"/>
      <c r="R29" s="969"/>
      <c r="S29" s="65"/>
      <c r="T29" s="969" t="str">
        <f>'Données - ICI'!EF137</f>
        <v>N.D.</v>
      </c>
      <c r="U29" s="969"/>
      <c r="V29" s="969"/>
      <c r="W29" s="969"/>
      <c r="X29" s="65"/>
      <c r="Y29" s="969" t="str">
        <f>IF(OR(O29=N.D.,T29=N.D.),N.D.,SUM(O29,T29))</f>
        <v>N.D.</v>
      </c>
      <c r="Z29" s="969"/>
      <c r="AA29" s="969"/>
      <c r="AB29" s="969"/>
      <c r="AD29" s="2"/>
      <c r="AY29" s="40"/>
      <c r="BJ29" s="5" t="str">
        <f>IF(ici_donnees_agroalimentaire=menu_utilisateur,IF(OR('Données - ICI'!AN145="",'Données - ICI'!AW145="", 'Données - ICI'!AN145=N.D.),'Données - ICI'!AH131,""),IF(OR('Données - ICI'!U145=N.D.,'Données - ICI'!U147=N.D.),'Données - ICI'!K131,""))</f>
        <v>3.2.1.3.</v>
      </c>
      <c r="EL29" s="5" t="str">
        <f>IF(Y29='Données - ICI'!EK137,"ok","non")</f>
        <v>ok</v>
      </c>
      <c r="EQ29" s="5" t="s">
        <v>500</v>
      </c>
    </row>
    <row r="30" spans="2:165" ht="33" hidden="1" customHeight="1" x14ac:dyDescent="0.25">
      <c r="B30" s="2"/>
      <c r="D30" s="968" t="str">
        <f>'Données - ICI'!K151:K151&amp;retour&amp;utilisateur</f>
        <v>Boues de papetières
    (Données de l'utilisateur)</v>
      </c>
      <c r="E30" s="968"/>
      <c r="F30" s="968"/>
      <c r="G30" s="968"/>
      <c r="H30" s="968"/>
      <c r="I30" s="968"/>
      <c r="J30" s="968"/>
      <c r="K30" s="968"/>
      <c r="L30" s="968"/>
      <c r="M30" s="968"/>
      <c r="N30" s="968"/>
      <c r="O30" s="969" t="str">
        <f>IF(BJ30&lt;&gt;"",N.D.,IF('Données - ICI'!AD153="Non",0,'Données - ICI'!AX166))</f>
        <v>N.D.</v>
      </c>
      <c r="P30" s="969"/>
      <c r="Q30" s="969"/>
      <c r="R30" s="969"/>
      <c r="S30" s="65"/>
      <c r="T30" s="969" t="str">
        <f>IF(BJ30&lt;&gt;"",N.D.,IF('Données - ICI'!AD153="Non",0,SUM('Données - ICI'!X166,'Données - ICI'!AD166)))</f>
        <v>N.D.</v>
      </c>
      <c r="U30" s="969"/>
      <c r="V30" s="969"/>
      <c r="W30" s="969"/>
      <c r="X30" s="80"/>
      <c r="Y30" s="969">
        <f>0</f>
        <v>0</v>
      </c>
      <c r="Z30" s="969"/>
      <c r="AA30" s="969"/>
      <c r="AB30" s="969"/>
      <c r="AD30" s="2"/>
      <c r="AY30" s="40"/>
      <c r="BJ30" s="5" t="str">
        <f>IF(AND('Données - ICI'!AD153&lt;&gt;"non",OR('Données - ICI'!X166="",'Données - ICI'!AX166="")),'Données - ICI'!J151,"")</f>
        <v>3.2.2.</v>
      </c>
      <c r="EL30" s="5" t="str">
        <f>IF(Y30=SUM('Données - ICI'!X166,'Données - ICI'!AX166),"ok","non")</f>
        <v>ok</v>
      </c>
      <c r="EQ30" s="5" t="s">
        <v>500</v>
      </c>
    </row>
    <row r="31" spans="2:165" ht="33" customHeight="1" x14ac:dyDescent="0.25">
      <c r="B31" s="2"/>
      <c r="D31" s="1164" t="str">
        <f>'Données - ICI'!K169:K169&amp;IF(ici_donnees_autres=menu_utilisateur,utilisateur,outil)</f>
        <v>Commerces, institutions et autres industries (Données de l'outil)</v>
      </c>
      <c r="E31" s="1164"/>
      <c r="F31" s="1164"/>
      <c r="G31" s="1164"/>
      <c r="H31" s="1164"/>
      <c r="I31" s="1164"/>
      <c r="J31" s="1164"/>
      <c r="K31" s="1164"/>
      <c r="L31" s="1164"/>
      <c r="M31" s="1164"/>
      <c r="N31" s="1164"/>
      <c r="O31" s="969" t="str">
        <f>IF(OR(O32=N.D.,O33=N.D.,O34=N.D.),N.D.,SUM(O32:O34))</f>
        <v>N.D.</v>
      </c>
      <c r="P31" s="969"/>
      <c r="Q31" s="969"/>
      <c r="R31" s="969"/>
      <c r="S31" s="28"/>
      <c r="T31" s="969" t="str">
        <f>IF(OR(T32=N.D.,T33=N.D.,T34=N.D.),N.D.,SUM(T32:T34))</f>
        <v>N.D.</v>
      </c>
      <c r="U31" s="969"/>
      <c r="V31" s="969"/>
      <c r="W31" s="969"/>
      <c r="X31" s="28"/>
      <c r="Y31" s="969" t="str">
        <f>IF(OR(O31=N.D.,T31=N.D.),N.D.,SUM(O31,T31))</f>
        <v>N.D.</v>
      </c>
      <c r="Z31" s="969"/>
      <c r="AA31" s="969"/>
      <c r="AB31" s="969"/>
      <c r="AD31" s="2"/>
      <c r="AY31" s="40"/>
      <c r="BJ31" s="5" t="str">
        <f>IF(COUNTIF(O31:AB34,N.D.)&gt;0,'Données - ICI'!J169,"")</f>
        <v>3.2.2.</v>
      </c>
    </row>
    <row r="32" spans="2:165" ht="22.5" customHeight="1" x14ac:dyDescent="0.25">
      <c r="B32" s="2"/>
      <c r="D32" s="16" t="str">
        <f>puce1</f>
        <v>Ä</v>
      </c>
      <c r="E32" s="992" t="str">
        <f>'Données - ICI'!AS177:AS177</f>
        <v>Résidus verts (t)</v>
      </c>
      <c r="F32" s="992"/>
      <c r="G32" s="992"/>
      <c r="H32" s="992"/>
      <c r="I32" s="992"/>
      <c r="J32" s="992"/>
      <c r="K32" s="992"/>
      <c r="L32" s="992"/>
      <c r="M32" s="992"/>
      <c r="N32" s="992"/>
      <c r="O32" s="969" t="str">
        <f>'Données - ICI'!DK206</f>
        <v>N.D.</v>
      </c>
      <c r="P32" s="969"/>
      <c r="Q32" s="969"/>
      <c r="R32" s="969"/>
      <c r="S32" s="28"/>
      <c r="T32" s="969" t="str">
        <f>'Données - ICI'!DX206</f>
        <v>N.D.</v>
      </c>
      <c r="U32" s="969"/>
      <c r="V32" s="969"/>
      <c r="W32" s="969"/>
      <c r="X32" s="28"/>
      <c r="Y32" s="969" t="str">
        <f>IF(OR(O32=N.D.,T32=N.D.),N.D.,SUM(O32,T32))</f>
        <v>N.D.</v>
      </c>
      <c r="Z32" s="969"/>
      <c r="AA32" s="969"/>
      <c r="AB32" s="969"/>
      <c r="AD32" s="2"/>
      <c r="AY32" s="40"/>
      <c r="EL32" s="5" t="str">
        <f>IF(Y32='Données - ICI'!EM229,"ok","non")</f>
        <v>non</v>
      </c>
    </row>
    <row r="33" spans="2:142" ht="22.5" customHeight="1" x14ac:dyDescent="0.25">
      <c r="B33" s="2"/>
      <c r="D33" s="16" t="str">
        <f>puce1</f>
        <v>Ä</v>
      </c>
      <c r="E33" s="1163" t="s">
        <v>418</v>
      </c>
      <c r="F33" s="992"/>
      <c r="G33" s="992"/>
      <c r="H33" s="992"/>
      <c r="I33" s="992"/>
      <c r="J33" s="992"/>
      <c r="K33" s="992"/>
      <c r="L33" s="992"/>
      <c r="M33" s="992"/>
      <c r="N33" s="992"/>
      <c r="O33" s="969" t="str">
        <f>'Données - ICI'!DO206</f>
        <v>N.D.</v>
      </c>
      <c r="P33" s="969"/>
      <c r="Q33" s="969"/>
      <c r="R33" s="969"/>
      <c r="S33" s="28"/>
      <c r="T33" s="969" t="str">
        <f>'Données - ICI'!EB206</f>
        <v>N.D.</v>
      </c>
      <c r="U33" s="969"/>
      <c r="V33" s="969"/>
      <c r="W33" s="969"/>
      <c r="X33" s="28"/>
      <c r="Y33" s="969" t="str">
        <f>IF(OR(O33=N.D.,T33=N.D.),N.D.,SUM(O33,T33))</f>
        <v>N.D.</v>
      </c>
      <c r="Z33" s="969"/>
      <c r="AA33" s="969"/>
      <c r="AB33" s="969"/>
      <c r="AD33" s="2"/>
      <c r="AY33" s="40"/>
      <c r="EL33" s="5" t="str">
        <f>IF(Y33='Données - ICI'!EO229,"ok","non")</f>
        <v>non</v>
      </c>
    </row>
    <row r="34" spans="2:142" ht="22.5" customHeight="1" x14ac:dyDescent="0.25">
      <c r="B34" s="2"/>
      <c r="D34" s="16" t="str">
        <f>puce1</f>
        <v>Ä</v>
      </c>
      <c r="E34" s="1163" t="s">
        <v>419</v>
      </c>
      <c r="F34" s="992"/>
      <c r="G34" s="992"/>
      <c r="H34" s="992"/>
      <c r="I34" s="992"/>
      <c r="J34" s="992"/>
      <c r="K34" s="992"/>
      <c r="L34" s="992"/>
      <c r="M34" s="992"/>
      <c r="N34" s="992"/>
      <c r="O34" s="969" t="str">
        <f>'Données - ICI'!DS206</f>
        <v>N.D.</v>
      </c>
      <c r="P34" s="969"/>
      <c r="Q34" s="969"/>
      <c r="R34" s="969"/>
      <c r="S34" s="28"/>
      <c r="T34" s="969" t="str">
        <f>'Données - ICI'!EF206</f>
        <v>N.D.</v>
      </c>
      <c r="U34" s="969"/>
      <c r="V34" s="969"/>
      <c r="W34" s="969"/>
      <c r="X34" s="28"/>
      <c r="Y34" s="969" t="str">
        <f>IF(OR(O34=N.D.,T34=N.D.),N.D.,SUM(O34,T34))</f>
        <v>N.D.</v>
      </c>
      <c r="Z34" s="969"/>
      <c r="AA34" s="969"/>
      <c r="AB34" s="969"/>
      <c r="AD34" s="2"/>
      <c r="AY34" s="40"/>
      <c r="EL34" s="5" t="str">
        <f>IF(Y34='Données - ICI'!EQ229,"ok","non")</f>
        <v>non</v>
      </c>
    </row>
    <row r="35" spans="2:142" ht="11.25" customHeight="1" x14ac:dyDescent="0.25">
      <c r="B35" s="2"/>
      <c r="D35" s="103"/>
      <c r="E35" s="103"/>
      <c r="F35" s="103"/>
      <c r="G35" s="103"/>
      <c r="H35" s="103"/>
      <c r="I35" s="103"/>
      <c r="J35" s="103"/>
      <c r="K35" s="103"/>
      <c r="L35" s="103"/>
      <c r="M35" s="103"/>
      <c r="N35" s="103"/>
      <c r="AD35" s="2"/>
      <c r="AY35" s="40"/>
    </row>
    <row r="36" spans="2:142" ht="22.5" customHeight="1" x14ac:dyDescent="0.25">
      <c r="B36" s="2"/>
      <c r="D36" s="975" t="str">
        <f>D24</f>
        <v>Total</v>
      </c>
      <c r="E36" s="975"/>
      <c r="F36" s="975"/>
      <c r="G36" s="975"/>
      <c r="H36" s="975"/>
      <c r="I36" s="975"/>
      <c r="J36" s="975"/>
      <c r="K36" s="975"/>
      <c r="L36" s="975"/>
      <c r="M36" s="975"/>
      <c r="N36" s="975"/>
      <c r="O36" s="974" t="str">
        <f>IF(OR(O29=N.D.,O31=N.D.),N.D.,SUM(O29,O31))</f>
        <v>N.D.</v>
      </c>
      <c r="P36" s="974"/>
      <c r="Q36" s="974"/>
      <c r="R36" s="974"/>
      <c r="S36" s="82"/>
      <c r="T36" s="974" t="str">
        <f>IF(OR(T29=N.D.,T31=N.D.),N.D.,SUM(T29,T31))</f>
        <v>N.D.</v>
      </c>
      <c r="U36" s="974"/>
      <c r="V36" s="974"/>
      <c r="W36" s="974"/>
      <c r="X36" s="82"/>
      <c r="Y36" s="974" t="str">
        <f>IF(OR(O36=N.D.,T36=N.D.),N.D.,SUM(O36,T36))</f>
        <v>N.D.</v>
      </c>
      <c r="Z36" s="974"/>
      <c r="AA36" s="974"/>
      <c r="AB36" s="974"/>
      <c r="AC36" s="51"/>
      <c r="AD36" s="2"/>
      <c r="AS36" s="990"/>
      <c r="AT36" s="990"/>
      <c r="AY36" s="40"/>
    </row>
    <row r="37" spans="2:142" ht="22.5" customHeight="1" x14ac:dyDescent="0.25">
      <c r="B37" s="2"/>
      <c r="D37" s="103"/>
      <c r="E37" s="103"/>
      <c r="F37" s="103"/>
      <c r="G37" s="103"/>
      <c r="H37" s="103"/>
      <c r="I37" s="103"/>
      <c r="J37" s="103"/>
      <c r="K37" s="103"/>
      <c r="L37" s="103"/>
      <c r="M37" s="103"/>
      <c r="N37" s="103"/>
      <c r="AD37" s="2"/>
      <c r="AY37" s="40"/>
    </row>
    <row r="38" spans="2:142" ht="51" customHeight="1" x14ac:dyDescent="0.25">
      <c r="B38" s="2"/>
      <c r="D38" s="1166" t="str">
        <f>BK38&amp;utilisateur</f>
        <v>RÉSIDUS SPÉCIFIQUES DE TRANSFORMATION INDUSTRIELLE (Données de l'utilisateur)</v>
      </c>
      <c r="E38" s="1166"/>
      <c r="F38" s="1166"/>
      <c r="G38" s="1166"/>
      <c r="H38" s="1166"/>
      <c r="I38" s="1166"/>
      <c r="J38" s="1166"/>
      <c r="K38" s="1166"/>
      <c r="L38" s="1166"/>
      <c r="M38" s="1166"/>
      <c r="N38" s="1166"/>
      <c r="O38" s="971"/>
      <c r="P38" s="971"/>
      <c r="Q38" s="971"/>
      <c r="R38" s="971"/>
      <c r="S38" s="971"/>
      <c r="T38" s="971"/>
      <c r="U38" s="971"/>
      <c r="V38" s="971"/>
      <c r="W38" s="971"/>
      <c r="X38" s="971"/>
      <c r="Y38" s="971"/>
      <c r="Z38" s="971"/>
      <c r="AA38" s="971"/>
      <c r="AB38" s="971"/>
      <c r="AD38" s="2"/>
      <c r="AY38" s="40"/>
      <c r="BK38" s="89" t="str">
        <f>UPPER('Données - ICI'!J243)</f>
        <v>RÉSIDUS SPÉCIFIQUES DE TRANSFORMATION INDUSTRIELLE</v>
      </c>
    </row>
    <row r="39" spans="2:142" ht="9" customHeight="1" x14ac:dyDescent="0.25">
      <c r="B39" s="2"/>
      <c r="D39" s="104"/>
      <c r="E39" s="104"/>
      <c r="F39" s="104"/>
      <c r="G39" s="104"/>
      <c r="H39" s="104"/>
      <c r="I39" s="104"/>
      <c r="J39" s="104"/>
      <c r="K39" s="104"/>
      <c r="L39" s="104"/>
      <c r="M39" s="104"/>
      <c r="N39" s="104"/>
      <c r="O39" s="104"/>
      <c r="P39" s="104"/>
      <c r="Q39" s="104"/>
      <c r="R39" s="104"/>
      <c r="S39" s="104"/>
      <c r="AD39" s="2"/>
      <c r="AY39" s="40"/>
    </row>
    <row r="40" spans="2:142" ht="22.5" customHeight="1" x14ac:dyDescent="0.25">
      <c r="B40" s="2"/>
      <c r="O40" s="715" t="s">
        <v>285</v>
      </c>
      <c r="P40" s="715"/>
      <c r="Q40" s="715"/>
      <c r="R40" s="715"/>
      <c r="S40" s="26"/>
      <c r="T40" s="715" t="s">
        <v>286</v>
      </c>
      <c r="U40" s="715"/>
      <c r="V40" s="715"/>
      <c r="W40" s="715"/>
      <c r="X40" s="26"/>
      <c r="Y40" s="715" t="s">
        <v>287</v>
      </c>
      <c r="Z40" s="715"/>
      <c r="AA40" s="715"/>
      <c r="AB40" s="715"/>
      <c r="AD40" s="2"/>
      <c r="AY40" s="40"/>
    </row>
    <row r="41" spans="2:142" ht="22.5" customHeight="1" x14ac:dyDescent="0.25">
      <c r="B41" s="2"/>
      <c r="D41" s="968" t="str">
        <f>'Données - ICI'!I248</f>
        <v>Autres résidus marins</v>
      </c>
      <c r="E41" s="968"/>
      <c r="F41" s="968"/>
      <c r="G41" s="968"/>
      <c r="H41" s="968"/>
      <c r="I41" s="968"/>
      <c r="J41" s="968"/>
      <c r="K41" s="968"/>
      <c r="L41" s="968"/>
      <c r="M41" s="968"/>
      <c r="N41" s="968"/>
      <c r="O41" s="969" t="str">
        <f>IF('Données - ICI'!Q248="","",'Données - ICI'!Q248)</f>
        <v/>
      </c>
      <c r="P41" s="969"/>
      <c r="Q41" s="969"/>
      <c r="R41" s="969"/>
      <c r="S41" s="65"/>
      <c r="T41" s="969" t="str">
        <f>IF('Données - ICI'!V248="","",'Données - ICI'!V248)</f>
        <v/>
      </c>
      <c r="U41" s="969"/>
      <c r="V41" s="969"/>
      <c r="W41" s="969"/>
      <c r="X41" s="65"/>
      <c r="Y41" s="969" t="str">
        <f t="shared" ref="Y41:Y49" si="0">IF(AND(O41="",T41=""),"",SUM(O41,T41))</f>
        <v/>
      </c>
      <c r="Z41" s="969"/>
      <c r="AA41" s="969"/>
      <c r="AB41" s="969"/>
      <c r="AD41" s="2"/>
      <c r="AY41" s="40"/>
    </row>
    <row r="42" spans="2:142" ht="22.5" customHeight="1" x14ac:dyDescent="0.25">
      <c r="B42" s="2"/>
      <c r="D42" s="968" t="str">
        <f>'Données - ICI'!I249</f>
        <v>Sables de fonderies</v>
      </c>
      <c r="E42" s="968"/>
      <c r="F42" s="968"/>
      <c r="G42" s="968"/>
      <c r="H42" s="968"/>
      <c r="I42" s="968"/>
      <c r="J42" s="968"/>
      <c r="K42" s="968"/>
      <c r="L42" s="968"/>
      <c r="M42" s="968"/>
      <c r="N42" s="968"/>
      <c r="O42" s="969" t="str">
        <f>IF('Données - ICI'!Q249="","",'Données - ICI'!Q249)</f>
        <v/>
      </c>
      <c r="P42" s="969"/>
      <c r="Q42" s="969"/>
      <c r="R42" s="969"/>
      <c r="S42" s="65"/>
      <c r="T42" s="969" t="str">
        <f>IF('Données - ICI'!V249="","",'Données - ICI'!V249)</f>
        <v/>
      </c>
      <c r="U42" s="969"/>
      <c r="V42" s="969"/>
      <c r="W42" s="969"/>
      <c r="X42" s="65"/>
      <c r="Y42" s="969" t="str">
        <f t="shared" si="0"/>
        <v/>
      </c>
      <c r="Z42" s="969"/>
      <c r="AA42" s="969"/>
      <c r="AB42" s="969"/>
      <c r="AD42" s="2"/>
      <c r="AY42" s="40"/>
    </row>
    <row r="43" spans="2:142" ht="22.5" customHeight="1" x14ac:dyDescent="0.25">
      <c r="B43" s="2"/>
      <c r="D43" s="968" t="str">
        <f>'Données - ICI'!I250</f>
        <v>Poussières de cimenteries</v>
      </c>
      <c r="E43" s="968"/>
      <c r="F43" s="968"/>
      <c r="G43" s="968"/>
      <c r="H43" s="968"/>
      <c r="I43" s="968"/>
      <c r="J43" s="968"/>
      <c r="K43" s="968"/>
      <c r="L43" s="968"/>
      <c r="M43" s="968"/>
      <c r="N43" s="968"/>
      <c r="O43" s="969" t="str">
        <f>IF('Données - ICI'!Q250="","",'Données - ICI'!Q250)</f>
        <v/>
      </c>
      <c r="P43" s="969"/>
      <c r="Q43" s="969"/>
      <c r="R43" s="969"/>
      <c r="S43" s="65"/>
      <c r="T43" s="969" t="str">
        <f>IF('Données - ICI'!V250="","",'Données - ICI'!V250)</f>
        <v/>
      </c>
      <c r="U43" s="969"/>
      <c r="V43" s="969"/>
      <c r="W43" s="969"/>
      <c r="X43" s="65"/>
      <c r="Y43" s="969" t="str">
        <f t="shared" si="0"/>
        <v/>
      </c>
      <c r="Z43" s="969"/>
      <c r="AA43" s="969"/>
      <c r="AB43" s="969"/>
      <c r="AD43" s="2"/>
      <c r="AY43" s="40"/>
    </row>
    <row r="44" spans="2:142" ht="22.5" customHeight="1" x14ac:dyDescent="0.25">
      <c r="B44" s="2"/>
      <c r="D44" s="968" t="str">
        <f>'Données - ICI'!I251</f>
        <v>Boues de forage</v>
      </c>
      <c r="E44" s="968"/>
      <c r="F44" s="968"/>
      <c r="G44" s="968"/>
      <c r="H44" s="968"/>
      <c r="I44" s="968"/>
      <c r="J44" s="968"/>
      <c r="K44" s="968"/>
      <c r="L44" s="968"/>
      <c r="M44" s="968"/>
      <c r="N44" s="968"/>
      <c r="O44" s="969" t="str">
        <f>IF('Données - ICI'!Q251="","",'Données - ICI'!Q251)</f>
        <v/>
      </c>
      <c r="P44" s="969"/>
      <c r="Q44" s="969"/>
      <c r="R44" s="969"/>
      <c r="S44" s="65"/>
      <c r="T44" s="969" t="str">
        <f>IF('Données - ICI'!V251="","",'Données - ICI'!V251)</f>
        <v/>
      </c>
      <c r="U44" s="969"/>
      <c r="V44" s="969"/>
      <c r="W44" s="969"/>
      <c r="X44" s="65"/>
      <c r="Y44" s="969" t="str">
        <f t="shared" si="0"/>
        <v/>
      </c>
      <c r="Z44" s="969"/>
      <c r="AA44" s="969"/>
      <c r="AB44" s="969"/>
      <c r="AD44" s="2"/>
      <c r="AY44" s="40"/>
    </row>
    <row r="45" spans="2:142" ht="22.5" customHeight="1" x14ac:dyDescent="0.25">
      <c r="B45" s="2"/>
      <c r="D45" s="968" t="str">
        <f>'Données - ICI'!I252</f>
        <v>Scories d’aciérie</v>
      </c>
      <c r="E45" s="968"/>
      <c r="F45" s="968"/>
      <c r="G45" s="968"/>
      <c r="H45" s="968"/>
      <c r="I45" s="968"/>
      <c r="J45" s="968"/>
      <c r="K45" s="968"/>
      <c r="L45" s="968"/>
      <c r="M45" s="968"/>
      <c r="N45" s="968"/>
      <c r="O45" s="969" t="str">
        <f>IF('Données - ICI'!Q252="","",'Données - ICI'!Q252)</f>
        <v/>
      </c>
      <c r="P45" s="969"/>
      <c r="Q45" s="969"/>
      <c r="R45" s="969"/>
      <c r="S45" s="65"/>
      <c r="T45" s="969" t="str">
        <f>IF('Données - ICI'!V252="","",'Données - ICI'!V252)</f>
        <v/>
      </c>
      <c r="U45" s="969"/>
      <c r="V45" s="969"/>
      <c r="W45" s="969"/>
      <c r="X45" s="65"/>
      <c r="Y45" s="969" t="str">
        <f t="shared" si="0"/>
        <v/>
      </c>
      <c r="Z45" s="969"/>
      <c r="AA45" s="969"/>
      <c r="AB45" s="969"/>
      <c r="AD45" s="2"/>
      <c r="AY45" s="40"/>
    </row>
    <row r="46" spans="2:142" ht="22.5" customHeight="1" x14ac:dyDescent="0.25">
      <c r="B46" s="2"/>
      <c r="D46" s="968" t="str">
        <f>'Données - ICI'!I253</f>
        <v>Poussières de chaux</v>
      </c>
      <c r="E46" s="968"/>
      <c r="F46" s="968"/>
      <c r="G46" s="968"/>
      <c r="H46" s="968"/>
      <c r="I46" s="968"/>
      <c r="J46" s="968"/>
      <c r="K46" s="968"/>
      <c r="L46" s="968"/>
      <c r="M46" s="968"/>
      <c r="N46" s="968"/>
      <c r="O46" s="969" t="str">
        <f>IF('Données - ICI'!Q253="","",'Données - ICI'!Q253)</f>
        <v/>
      </c>
      <c r="P46" s="969"/>
      <c r="Q46" s="969"/>
      <c r="R46" s="969"/>
      <c r="S46" s="65"/>
      <c r="T46" s="969" t="str">
        <f>IF('Données - ICI'!V253="","",'Données - ICI'!V253)</f>
        <v/>
      </c>
      <c r="U46" s="969"/>
      <c r="V46" s="969"/>
      <c r="W46" s="969"/>
      <c r="X46" s="65"/>
      <c r="Y46" s="969" t="str">
        <f t="shared" si="0"/>
        <v/>
      </c>
      <c r="Z46" s="969"/>
      <c r="AA46" s="969"/>
      <c r="AB46" s="969"/>
      <c r="AD46" s="2"/>
      <c r="AY46" s="40"/>
    </row>
    <row r="47" spans="2:142" ht="22.5" customHeight="1" x14ac:dyDescent="0.25">
      <c r="B47" s="2"/>
      <c r="D47" s="968" t="str">
        <f>'Données - ICI'!I254</f>
        <v>Autres résidus chaulant</v>
      </c>
      <c r="E47" s="968"/>
      <c r="F47" s="968"/>
      <c r="G47" s="968"/>
      <c r="H47" s="968"/>
      <c r="I47" s="968"/>
      <c r="J47" s="968"/>
      <c r="K47" s="968"/>
      <c r="L47" s="968"/>
      <c r="M47" s="968"/>
      <c r="N47" s="968"/>
      <c r="O47" s="969" t="str">
        <f>IF('Données - ICI'!Q254="","",'Données - ICI'!Q254)</f>
        <v/>
      </c>
      <c r="P47" s="969"/>
      <c r="Q47" s="969"/>
      <c r="R47" s="969"/>
      <c r="S47" s="65"/>
      <c r="T47" s="969" t="str">
        <f>IF('Données - ICI'!V254="","",'Données - ICI'!V254)</f>
        <v/>
      </c>
      <c r="U47" s="969"/>
      <c r="V47" s="969"/>
      <c r="W47" s="969"/>
      <c r="X47" s="65"/>
      <c r="Y47" s="969" t="str">
        <f t="shared" si="0"/>
        <v/>
      </c>
      <c r="Z47" s="969"/>
      <c r="AA47" s="969"/>
      <c r="AB47" s="969"/>
      <c r="AD47" s="2"/>
      <c r="AY47" s="40"/>
    </row>
    <row r="48" spans="2:142" ht="22.5" customHeight="1" x14ac:dyDescent="0.25">
      <c r="B48" s="2"/>
      <c r="D48" s="968" t="str">
        <f>'Données - ICI'!I255</f>
        <v>Pierre de taille</v>
      </c>
      <c r="E48" s="968"/>
      <c r="F48" s="968"/>
      <c r="G48" s="968"/>
      <c r="H48" s="968"/>
      <c r="I48" s="968"/>
      <c r="J48" s="968"/>
      <c r="K48" s="968"/>
      <c r="L48" s="968"/>
      <c r="M48" s="968"/>
      <c r="N48" s="968"/>
      <c r="O48" s="969" t="str">
        <f>IF('Données - ICI'!Q255="","",'Données - ICI'!Q255)</f>
        <v/>
      </c>
      <c r="P48" s="969"/>
      <c r="Q48" s="969"/>
      <c r="R48" s="969"/>
      <c r="S48" s="65"/>
      <c r="T48" s="969" t="str">
        <f>IF('Données - ICI'!V255="","",'Données - ICI'!V255)</f>
        <v/>
      </c>
      <c r="U48" s="969"/>
      <c r="V48" s="969"/>
      <c r="W48" s="969"/>
      <c r="X48" s="65"/>
      <c r="Y48" s="969" t="str">
        <f t="shared" si="0"/>
        <v/>
      </c>
      <c r="Z48" s="969"/>
      <c r="AA48" s="969"/>
      <c r="AB48" s="969"/>
      <c r="AD48" s="2"/>
      <c r="AY48" s="40"/>
    </row>
    <row r="49" spans="2:169" ht="22.5" customHeight="1" x14ac:dyDescent="0.25">
      <c r="B49" s="2"/>
      <c r="D49" s="968" t="str">
        <f>'Données - ICI'!AH248</f>
        <v>Autres résidus</v>
      </c>
      <c r="E49" s="968"/>
      <c r="F49" s="968"/>
      <c r="G49" s="968"/>
      <c r="H49" s="968"/>
      <c r="I49" s="968"/>
      <c r="J49" s="968"/>
      <c r="K49" s="968"/>
      <c r="L49" s="968"/>
      <c r="M49" s="968"/>
      <c r="N49" s="968"/>
      <c r="O49" s="969" t="str">
        <f>IF('Données - ICI'!AP248="","",'Données - ICI'!AP248)</f>
        <v/>
      </c>
      <c r="P49" s="969"/>
      <c r="Q49" s="969"/>
      <c r="R49" s="969"/>
      <c r="S49" s="65"/>
      <c r="T49" s="969" t="str">
        <f>IF('Données - ICI'!AU248="","",'Données - ICI'!AU248)</f>
        <v/>
      </c>
      <c r="U49" s="969"/>
      <c r="V49" s="969"/>
      <c r="W49" s="969"/>
      <c r="X49" s="65"/>
      <c r="Y49" s="969" t="str">
        <f t="shared" si="0"/>
        <v/>
      </c>
      <c r="Z49" s="969"/>
      <c r="AA49" s="969"/>
      <c r="AB49" s="969"/>
      <c r="AD49" s="2"/>
      <c r="AY49" s="40"/>
    </row>
    <row r="50" spans="2:169" ht="22.5" customHeight="1" x14ac:dyDescent="0.25">
      <c r="B50" s="2"/>
      <c r="D50" s="1165" t="str">
        <f>IF('Données - ICI'!AH251="","",'Données - ICI'!AH251)</f>
        <v/>
      </c>
      <c r="E50" s="1165"/>
      <c r="F50" s="1165"/>
      <c r="G50" s="1165"/>
      <c r="H50" s="1165"/>
      <c r="I50" s="1165"/>
      <c r="J50" s="1165"/>
      <c r="K50" s="1165"/>
      <c r="L50" s="1165"/>
      <c r="M50" s="1165"/>
      <c r="N50" s="1165"/>
      <c r="AD50" s="2"/>
      <c r="AY50" s="40"/>
    </row>
    <row r="51" spans="2:169" ht="11.25" customHeight="1" x14ac:dyDescent="0.25">
      <c r="B51" s="2"/>
      <c r="D51" s="103"/>
      <c r="E51" s="103"/>
      <c r="F51" s="103"/>
      <c r="G51" s="103"/>
      <c r="H51" s="103"/>
      <c r="I51" s="103"/>
      <c r="J51" s="103"/>
      <c r="K51" s="103"/>
      <c r="L51" s="103"/>
      <c r="M51" s="103"/>
      <c r="N51" s="103"/>
      <c r="AD51" s="2"/>
      <c r="AY51" s="40"/>
    </row>
    <row r="52" spans="2:169" ht="22.5" customHeight="1" x14ac:dyDescent="0.25">
      <c r="B52" s="2"/>
      <c r="D52" s="975" t="str">
        <f>D36</f>
        <v>Total</v>
      </c>
      <c r="E52" s="975"/>
      <c r="F52" s="975"/>
      <c r="G52" s="975"/>
      <c r="H52" s="975"/>
      <c r="I52" s="975"/>
      <c r="J52" s="975"/>
      <c r="K52" s="975"/>
      <c r="L52" s="975"/>
      <c r="M52" s="975"/>
      <c r="N52" s="975"/>
      <c r="O52" s="974" t="str">
        <f>IF(COUNTBLANK(O41:O49)&lt;9,SUM(O41:O49),"")</f>
        <v/>
      </c>
      <c r="P52" s="974"/>
      <c r="Q52" s="974"/>
      <c r="R52" s="974"/>
      <c r="S52" s="82"/>
      <c r="T52" s="974" t="str">
        <f>IF(COUNTBLANK(T41:T49)&lt;9,SUM(T41:T49),"")</f>
        <v/>
      </c>
      <c r="U52" s="974"/>
      <c r="V52" s="974"/>
      <c r="W52" s="974"/>
      <c r="X52" s="82"/>
      <c r="Y52" s="974" t="str">
        <f>IF(AND(O52="",T52=""),"",SUM(O52,T52))</f>
        <v/>
      </c>
      <c r="Z52" s="974"/>
      <c r="AA52" s="974"/>
      <c r="AB52" s="974"/>
      <c r="AC52" s="51"/>
      <c r="AD52" s="2"/>
      <c r="AS52" s="990"/>
      <c r="AT52" s="990"/>
      <c r="AY52" s="40"/>
    </row>
    <row r="53" spans="2:169" ht="15" customHeight="1" x14ac:dyDescent="0.25">
      <c r="B53" s="2"/>
      <c r="D53" s="103"/>
      <c r="E53" s="103"/>
      <c r="F53" s="103"/>
      <c r="G53" s="103"/>
      <c r="H53" s="103"/>
      <c r="I53" s="103"/>
      <c r="J53" s="103"/>
      <c r="K53" s="103"/>
      <c r="L53" s="103"/>
      <c r="M53" s="103"/>
      <c r="N53" s="103"/>
      <c r="AD53" s="2"/>
      <c r="AY53" s="40"/>
    </row>
    <row r="54" spans="2:169" ht="35.25" customHeight="1" x14ac:dyDescent="0.25">
      <c r="B54" s="2"/>
      <c r="D54" s="972" t="str">
        <f>IF(ici_utiliser_rejets=menu_utilisateur,BK54&amp;retour&amp;utilisateur,BK54&amp;retour&amp;outil)</f>
        <v>AUTRES MATIÈRES RÉSIDUELLES
    (Données de l'outil)</v>
      </c>
      <c r="E54" s="972"/>
      <c r="F54" s="972"/>
      <c r="G54" s="972"/>
      <c r="H54" s="972"/>
      <c r="I54" s="972"/>
      <c r="J54" s="972"/>
      <c r="K54" s="972"/>
      <c r="L54" s="972"/>
      <c r="M54" s="972"/>
      <c r="N54" s="972"/>
      <c r="O54" s="971" t="str">
        <f>IF(COUNTIF(T56:T58,N.D.)&gt;0,erreur2&amp;'Données - ICI'!I260,"")</f>
        <v>Les données ci-dessous ne peuvent pas être complétées. Vérifiez la réponse à la question 3.4.</v>
      </c>
      <c r="P54" s="971"/>
      <c r="Q54" s="971"/>
      <c r="R54" s="971"/>
      <c r="S54" s="971"/>
      <c r="T54" s="971"/>
      <c r="U54" s="971"/>
      <c r="V54" s="971"/>
      <c r="W54" s="971"/>
      <c r="X54" s="971"/>
      <c r="Y54" s="971"/>
      <c r="Z54" s="971"/>
      <c r="AA54" s="971"/>
      <c r="AB54" s="971"/>
      <c r="AD54" s="2"/>
      <c r="AF54" s="42" t="s">
        <v>300</v>
      </c>
      <c r="AG54" s="42"/>
      <c r="AH54" s="42"/>
      <c r="AI54" s="42"/>
      <c r="AJ54" s="42"/>
      <c r="AK54" s="42"/>
      <c r="AL54" s="42"/>
      <c r="AM54" s="42"/>
      <c r="AN54" s="42"/>
      <c r="AO54" s="987" t="s">
        <v>299</v>
      </c>
      <c r="AP54" s="987"/>
      <c r="AQ54" s="987"/>
      <c r="AR54" s="987"/>
      <c r="AS54" s="987"/>
      <c r="AT54" s="987"/>
      <c r="AU54" s="987"/>
      <c r="AV54" s="987"/>
      <c r="AW54" s="987"/>
      <c r="AY54" s="40"/>
      <c r="BA54" s="5" t="s">
        <v>293</v>
      </c>
      <c r="BK54" s="89" t="str">
        <f>UPPER('Données - ICI'!J260)</f>
        <v>AUTRES MATIÈRES RÉSIDUELLES</v>
      </c>
    </row>
    <row r="55" spans="2:169" ht="22.5" customHeight="1" x14ac:dyDescent="0.25">
      <c r="B55" s="2"/>
      <c r="D55" s="219"/>
      <c r="E55" s="219"/>
      <c r="F55" s="219"/>
      <c r="G55" s="219"/>
      <c r="H55" s="219"/>
      <c r="I55" s="219"/>
      <c r="J55" s="219"/>
      <c r="K55" s="219"/>
      <c r="L55" s="219"/>
      <c r="M55" s="219"/>
      <c r="N55" s="219"/>
      <c r="O55" s="715" t="s">
        <v>285</v>
      </c>
      <c r="P55" s="715"/>
      <c r="Q55" s="715"/>
      <c r="R55" s="715"/>
      <c r="S55" s="26"/>
      <c r="T55" s="715" t="s">
        <v>286</v>
      </c>
      <c r="U55" s="715"/>
      <c r="V55" s="715"/>
      <c r="W55" s="715"/>
      <c r="X55" s="26"/>
      <c r="Y55" s="715" t="s">
        <v>287</v>
      </c>
      <c r="Z55" s="715"/>
      <c r="AA55" s="715"/>
      <c r="AB55" s="715"/>
      <c r="AD55" s="2"/>
      <c r="AF55" s="19"/>
      <c r="AG55" s="19"/>
      <c r="AH55" s="19"/>
      <c r="AI55" s="19"/>
      <c r="AJ55" s="19"/>
      <c r="AK55" s="19"/>
      <c r="AL55" s="19"/>
      <c r="AM55" s="19"/>
      <c r="AN55" s="19"/>
      <c r="AO55" s="68"/>
      <c r="AP55" s="68"/>
      <c r="AQ55" s="68"/>
      <c r="AR55" s="68"/>
      <c r="AS55" s="68"/>
      <c r="AT55" s="68"/>
      <c r="AU55" s="68"/>
      <c r="AV55" s="68"/>
      <c r="AW55" s="68"/>
      <c r="AY55" s="40"/>
      <c r="BK55" s="89"/>
    </row>
    <row r="56" spans="2:169" ht="33" customHeight="1" x14ac:dyDescent="0.25">
      <c r="B56" s="2"/>
      <c r="D56" s="1161" t="str">
        <f>'Données - ICI'!I273</f>
        <v>Rejets du tri des matières recyclables des ICI</v>
      </c>
      <c r="E56" s="973"/>
      <c r="F56" s="973"/>
      <c r="G56" s="973"/>
      <c r="H56" s="973"/>
      <c r="I56" s="973"/>
      <c r="J56" s="973"/>
      <c r="K56" s="973"/>
      <c r="L56" s="973"/>
      <c r="M56" s="973"/>
      <c r="N56" s="973"/>
      <c r="O56" s="977">
        <v>0</v>
      </c>
      <c r="P56" s="977"/>
      <c r="Q56" s="977"/>
      <c r="R56" s="977"/>
      <c r="S56" s="66"/>
      <c r="T56" s="977" t="str">
        <f>'Données - ICI'!DV273</f>
        <v>N.D.</v>
      </c>
      <c r="U56" s="977"/>
      <c r="V56" s="977"/>
      <c r="W56" s="977"/>
      <c r="X56" s="66"/>
      <c r="Y56" s="977" t="str">
        <f>IF(T56=N.D.,N.D.,T56)</f>
        <v>N.D.</v>
      </c>
      <c r="Z56" s="977"/>
      <c r="AA56" s="977"/>
      <c r="AB56" s="977"/>
      <c r="AD56" s="2"/>
      <c r="AY56" s="40"/>
      <c r="BK56" s="89"/>
    </row>
    <row r="57" spans="2:169" ht="33" customHeight="1" x14ac:dyDescent="0.25">
      <c r="B57" s="2"/>
      <c r="D57" s="1161" t="str">
        <f>'Données - ICI'!I274</f>
        <v>Rejets de la collecte des M.O. des ICI</v>
      </c>
      <c r="E57" s="973"/>
      <c r="F57" s="973"/>
      <c r="G57" s="973"/>
      <c r="H57" s="973"/>
      <c r="I57" s="973"/>
      <c r="J57" s="973"/>
      <c r="K57" s="973"/>
      <c r="L57" s="973"/>
      <c r="M57" s="973"/>
      <c r="N57" s="973"/>
      <c r="O57" s="977">
        <v>0</v>
      </c>
      <c r="P57" s="977"/>
      <c r="Q57" s="977"/>
      <c r="R57" s="977"/>
      <c r="S57" s="66"/>
      <c r="T57" s="977" t="str">
        <f>'Données - ICI'!DV274</f>
        <v>N.D.</v>
      </c>
      <c r="U57" s="977"/>
      <c r="V57" s="977"/>
      <c r="W57" s="977"/>
      <c r="X57" s="66"/>
      <c r="Y57" s="977" t="str">
        <f>IF(T57=N.D.,N.D.,T57)</f>
        <v>N.D.</v>
      </c>
      <c r="Z57" s="977"/>
      <c r="AA57" s="977"/>
      <c r="AB57" s="977"/>
      <c r="AD57" s="2"/>
      <c r="AY57" s="40"/>
      <c r="BK57" s="89"/>
    </row>
    <row r="58" spans="2:169" ht="33" customHeight="1" x14ac:dyDescent="0.25">
      <c r="B58" s="2"/>
      <c r="D58" s="1161" t="str">
        <f>'Données - ICI'!I275</f>
        <v>Rejets des recycleurs de métaux (encombrants et véhicules hors usage)</v>
      </c>
      <c r="E58" s="973"/>
      <c r="F58" s="973"/>
      <c r="G58" s="973"/>
      <c r="H58" s="973"/>
      <c r="I58" s="973"/>
      <c r="J58" s="973"/>
      <c r="K58" s="973"/>
      <c r="L58" s="973"/>
      <c r="M58" s="973"/>
      <c r="N58" s="973"/>
      <c r="O58" s="977">
        <v>0</v>
      </c>
      <c r="P58" s="977"/>
      <c r="Q58" s="977"/>
      <c r="R58" s="977"/>
      <c r="S58" s="66"/>
      <c r="T58" s="977" t="str">
        <f>'Données - ICI'!DV275</f>
        <v>N.D.</v>
      </c>
      <c r="U58" s="977"/>
      <c r="V58" s="977"/>
      <c r="W58" s="977"/>
      <c r="X58" s="66"/>
      <c r="Y58" s="977" t="str">
        <f>IF(T58=N.D.,N.D.,T58)</f>
        <v>N.D.</v>
      </c>
      <c r="Z58" s="977"/>
      <c r="AA58" s="977"/>
      <c r="AB58" s="977"/>
      <c r="AD58" s="2"/>
      <c r="AY58" s="40"/>
      <c r="BK58" s="89"/>
    </row>
    <row r="59" spans="2:169" ht="6" customHeight="1" x14ac:dyDescent="0.25">
      <c r="B59" s="2"/>
      <c r="D59" s="103"/>
      <c r="E59" s="103"/>
      <c r="F59" s="103"/>
      <c r="G59" s="103"/>
      <c r="H59" s="103"/>
      <c r="I59" s="103"/>
      <c r="J59" s="103"/>
      <c r="K59" s="103"/>
      <c r="L59" s="103"/>
      <c r="M59" s="103"/>
      <c r="N59" s="103"/>
      <c r="AD59" s="2"/>
      <c r="AY59" s="40"/>
    </row>
    <row r="60" spans="2:169" ht="22.5" customHeight="1" x14ac:dyDescent="0.25">
      <c r="B60" s="2"/>
      <c r="D60" s="975" t="str">
        <f>'Données - ICI'!I277</f>
        <v>Total</v>
      </c>
      <c r="E60" s="975"/>
      <c r="F60" s="975"/>
      <c r="G60" s="975"/>
      <c r="H60" s="975"/>
      <c r="I60" s="975"/>
      <c r="J60" s="975"/>
      <c r="K60" s="975"/>
      <c r="L60" s="975"/>
      <c r="M60" s="975"/>
      <c r="N60" s="975"/>
      <c r="O60" s="743">
        <f>IF(COUNTIF(O56:O58,N.D.)&gt;0,N.D.,SUM(O56:O58))</f>
        <v>0</v>
      </c>
      <c r="P60" s="743"/>
      <c r="Q60" s="743"/>
      <c r="R60" s="743"/>
      <c r="S60" s="82"/>
      <c r="T60" s="743" t="str">
        <f>IF(COUNTIF(T56:T58,N.D.)&gt;0,N.D.,SUM(T56:T58))</f>
        <v>N.D.</v>
      </c>
      <c r="U60" s="743"/>
      <c r="V60" s="743"/>
      <c r="W60" s="743"/>
      <c r="X60" s="82"/>
      <c r="Y60" s="974" t="str">
        <f>IF(T60=N.D.,N.D.,SUM(O60,T60))</f>
        <v>N.D.</v>
      </c>
      <c r="Z60" s="974"/>
      <c r="AA60" s="974"/>
      <c r="AB60" s="974"/>
      <c r="AD60" s="2"/>
      <c r="AY60" s="40"/>
    </row>
    <row r="61" spans="2:169" ht="37.5" customHeight="1" x14ac:dyDescent="0.25">
      <c r="B61" s="2"/>
      <c r="D61" s="103"/>
      <c r="E61" s="103"/>
      <c r="F61" s="103"/>
      <c r="G61" s="103"/>
      <c r="H61" s="103"/>
      <c r="I61" s="103"/>
      <c r="J61" s="103"/>
      <c r="K61" s="103"/>
      <c r="L61" s="103"/>
      <c r="M61" s="103"/>
      <c r="N61" s="103"/>
      <c r="AD61" s="2"/>
      <c r="AY61" s="40"/>
      <c r="FM61" s="318"/>
    </row>
    <row r="62" spans="2:169" ht="28.5" customHeight="1" x14ac:dyDescent="0.25">
      <c r="B62" s="2"/>
      <c r="D62" s="1160" t="s">
        <v>608</v>
      </c>
      <c r="E62" s="972"/>
      <c r="F62" s="972"/>
      <c r="G62" s="972"/>
      <c r="H62" s="972"/>
      <c r="I62" s="972"/>
      <c r="J62" s="972"/>
      <c r="K62" s="972"/>
      <c r="L62" s="972"/>
      <c r="M62" s="972"/>
      <c r="N62" s="972"/>
      <c r="O62" s="971" t="str">
        <f>IF(T64=N.D.,erreur2&amp;'Données - ICI'!I5&amp;" et "&amp;'Données - ICI'!I104,"")</f>
        <v>Les données ci-dessous ne peuvent pas être complétées. Vérifiez la réponse à la question 3.1. et 3.2.</v>
      </c>
      <c r="P62" s="971"/>
      <c r="Q62" s="971"/>
      <c r="R62" s="971"/>
      <c r="S62" s="971"/>
      <c r="T62" s="971"/>
      <c r="U62" s="971"/>
      <c r="V62" s="971"/>
      <c r="W62" s="971"/>
      <c r="X62" s="971"/>
      <c r="Y62" s="971"/>
      <c r="Z62" s="971"/>
      <c r="AA62" s="971"/>
      <c r="AB62" s="971"/>
      <c r="AD62" s="2"/>
      <c r="AY62" s="40"/>
    </row>
    <row r="63" spans="2:169" ht="22.5" customHeight="1" x14ac:dyDescent="0.25">
      <c r="B63" s="2"/>
      <c r="D63" s="103"/>
      <c r="E63" s="103"/>
      <c r="F63" s="103"/>
      <c r="G63" s="103"/>
      <c r="H63" s="103"/>
      <c r="I63" s="103"/>
      <c r="J63" s="103"/>
      <c r="K63" s="103"/>
      <c r="L63" s="103"/>
      <c r="M63" s="103"/>
      <c r="N63" s="103"/>
      <c r="O63" s="715"/>
      <c r="P63" s="715"/>
      <c r="Q63" s="715"/>
      <c r="R63" s="715"/>
      <c r="S63" s="26"/>
      <c r="T63" s="715" t="s">
        <v>286</v>
      </c>
      <c r="U63" s="715"/>
      <c r="V63" s="715"/>
      <c r="W63" s="715"/>
      <c r="X63" s="26"/>
      <c r="Y63" s="715"/>
      <c r="Z63" s="715"/>
      <c r="AA63" s="715"/>
      <c r="AB63" s="715"/>
      <c r="AD63" s="2"/>
      <c r="AY63" s="40"/>
    </row>
    <row r="64" spans="2:169" ht="22.5" customHeight="1" x14ac:dyDescent="0.25">
      <c r="B64" s="2"/>
      <c r="D64" s="967" t="s">
        <v>607</v>
      </c>
      <c r="E64" s="968"/>
      <c r="F64" s="968"/>
      <c r="G64" s="968"/>
      <c r="H64" s="968"/>
      <c r="I64" s="968"/>
      <c r="J64" s="968"/>
      <c r="K64" s="968"/>
      <c r="L64" s="968"/>
      <c r="M64" s="968"/>
      <c r="N64" s="968"/>
      <c r="O64" s="28"/>
      <c r="P64" s="28"/>
      <c r="Q64" s="28"/>
      <c r="R64" s="28"/>
      <c r="S64" s="28"/>
      <c r="T64" s="969" t="str">
        <f>'Données - ICI'!DI282</f>
        <v>N.D.</v>
      </c>
      <c r="U64" s="969"/>
      <c r="V64" s="969"/>
      <c r="W64" s="969"/>
      <c r="AD64" s="2"/>
      <c r="AY64" s="40"/>
    </row>
    <row r="65" spans="1:62" ht="22.5" customHeight="1" x14ac:dyDescent="0.25">
      <c r="B65" s="2"/>
      <c r="D65" s="103"/>
      <c r="E65" s="103"/>
      <c r="F65" s="103"/>
      <c r="G65" s="103"/>
      <c r="H65" s="103"/>
      <c r="I65" s="103"/>
      <c r="J65" s="103"/>
      <c r="K65" s="103"/>
      <c r="L65" s="103"/>
      <c r="M65" s="103"/>
      <c r="N65" s="103"/>
      <c r="AD65" s="2"/>
      <c r="AY65" s="40"/>
    </row>
    <row r="66" spans="1:62" customFormat="1" ht="2.25" customHeight="1" x14ac:dyDescent="0.25">
      <c r="A66" s="5"/>
      <c r="B66" s="2"/>
      <c r="C66" s="5"/>
      <c r="D66" s="5"/>
      <c r="E66" s="5"/>
      <c r="F66" s="5"/>
      <c r="G66" s="5"/>
      <c r="H66" s="5"/>
      <c r="I66" s="5"/>
      <c r="J66" s="5"/>
      <c r="K66" s="5"/>
      <c r="L66" s="52"/>
      <c r="M66" s="52"/>
      <c r="N66" s="52"/>
      <c r="O66" s="52"/>
      <c r="P66" s="52"/>
      <c r="Q66" s="52"/>
      <c r="R66" s="52"/>
      <c r="S66" s="52"/>
      <c r="T66" s="52"/>
      <c r="U66" s="52"/>
      <c r="V66" s="52"/>
      <c r="W66" s="5"/>
      <c r="X66" s="5"/>
      <c r="Y66" s="5"/>
      <c r="Z66" s="5"/>
      <c r="AA66" s="5"/>
      <c r="AB66" s="5"/>
      <c r="AC66" s="5"/>
      <c r="AD66" s="2"/>
      <c r="AE66" s="5"/>
      <c r="AF66" s="5"/>
      <c r="AG66" s="5"/>
      <c r="AH66" s="5"/>
      <c r="AI66" s="5"/>
      <c r="AJ66" s="5"/>
      <c r="AK66" s="5"/>
      <c r="AL66" s="5"/>
      <c r="AM66" s="5"/>
      <c r="AN66" s="5"/>
      <c r="AO66" s="5"/>
      <c r="AP66" s="5"/>
      <c r="AQ66" s="5"/>
      <c r="AR66" s="5"/>
      <c r="AS66" s="5"/>
      <c r="AT66" s="5"/>
      <c r="AU66" s="5"/>
      <c r="AV66" s="5"/>
      <c r="AW66" s="5"/>
      <c r="AX66" s="5"/>
      <c r="AY66" s="40"/>
      <c r="AZ66" s="5"/>
      <c r="BA66" s="5"/>
      <c r="BB66" s="5"/>
      <c r="BC66" s="5"/>
      <c r="BD66" s="5"/>
      <c r="BE66" s="5"/>
      <c r="BF66" s="5"/>
      <c r="BG66" s="5"/>
      <c r="BH66" s="5"/>
      <c r="BI66" s="5"/>
      <c r="BJ66" s="5"/>
    </row>
    <row r="67" spans="1:62" customFormat="1" ht="23.25" x14ac:dyDescent="0.25">
      <c r="A67" s="5"/>
      <c r="B67" s="2"/>
      <c r="C67" s="5"/>
      <c r="D67" s="103"/>
      <c r="E67" s="103"/>
      <c r="F67" s="103"/>
      <c r="G67" s="103"/>
      <c r="H67" s="103"/>
      <c r="I67" s="103"/>
      <c r="J67" s="103"/>
      <c r="K67" s="103"/>
      <c r="L67" s="103"/>
      <c r="M67" s="103"/>
      <c r="N67" s="103"/>
      <c r="O67" s="5"/>
      <c r="P67" s="5"/>
      <c r="Q67" s="5"/>
      <c r="R67" s="5"/>
      <c r="S67" s="5"/>
      <c r="T67" s="5"/>
      <c r="U67" s="5"/>
      <c r="V67" s="5"/>
      <c r="W67" s="5"/>
      <c r="X67" s="5"/>
      <c r="Y67" s="5"/>
      <c r="Z67" s="5"/>
      <c r="AA67" s="5"/>
      <c r="AB67" s="5"/>
      <c r="AC67" s="5"/>
      <c r="AD67" s="2"/>
      <c r="AE67" s="5"/>
      <c r="AF67" s="5"/>
      <c r="AG67" s="5"/>
      <c r="AH67" s="5"/>
      <c r="AI67" s="5"/>
      <c r="AJ67" s="5"/>
      <c r="AK67" s="5"/>
      <c r="AL67" s="5"/>
      <c r="AM67" s="5"/>
      <c r="AN67" s="5"/>
      <c r="AO67" s="5"/>
      <c r="AP67" s="5"/>
      <c r="AQ67" s="5"/>
      <c r="AR67" s="5"/>
      <c r="AS67" s="5"/>
      <c r="AT67" s="5"/>
      <c r="AU67" s="5"/>
      <c r="AV67" s="5"/>
      <c r="AW67" s="5"/>
      <c r="AX67" s="5"/>
      <c r="AY67" s="40"/>
      <c r="AZ67" s="5"/>
      <c r="BA67" s="5"/>
      <c r="BB67" s="5"/>
      <c r="BC67" s="5"/>
      <c r="BD67" s="5"/>
      <c r="BE67" s="5"/>
      <c r="BF67" s="5"/>
      <c r="BG67" s="5"/>
      <c r="BH67" s="5"/>
      <c r="BI67" s="5"/>
      <c r="BJ67" s="5"/>
    </row>
    <row r="68" spans="1:62" customFormat="1" ht="33.75" customHeight="1" x14ac:dyDescent="0.25">
      <c r="A68" s="5"/>
      <c r="B68" s="2"/>
      <c r="C68" s="5"/>
      <c r="D68" s="1160" t="s">
        <v>647</v>
      </c>
      <c r="E68" s="986"/>
      <c r="F68" s="986"/>
      <c r="G68" s="986"/>
      <c r="H68" s="986"/>
      <c r="I68" s="986"/>
      <c r="J68" s="986"/>
      <c r="K68" s="986"/>
      <c r="L68" s="986"/>
      <c r="M68" s="986"/>
      <c r="N68" s="986"/>
      <c r="O68" s="971" t="str">
        <f>IF(OR(O9&lt;&gt;"",O14&lt;&gt;"",O26&lt;&gt;"",O38&lt;&gt;"",O54&lt;&gt;"",O62&lt;&gt;""),erreur1,"")</f>
        <v>Veuillez traiter les messages d'erreur ci-dessus</v>
      </c>
      <c r="P68" s="971"/>
      <c r="Q68" s="971"/>
      <c r="R68" s="971"/>
      <c r="S68" s="971"/>
      <c r="T68" s="971"/>
      <c r="U68" s="971"/>
      <c r="V68" s="971"/>
      <c r="W68" s="971"/>
      <c r="X68" s="971"/>
      <c r="Y68" s="971"/>
      <c r="Z68" s="971"/>
      <c r="AA68" s="971"/>
      <c r="AB68" s="971"/>
      <c r="AC68" s="5"/>
      <c r="AD68" s="2"/>
      <c r="AE68" s="5"/>
      <c r="AF68" s="5"/>
      <c r="AG68" s="5"/>
      <c r="AH68" s="5"/>
      <c r="AI68" s="5"/>
      <c r="AJ68" s="5"/>
      <c r="AK68" s="5"/>
      <c r="AL68" s="5"/>
      <c r="AM68" s="5"/>
      <c r="AN68" s="5"/>
      <c r="AO68" s="5"/>
      <c r="AP68" s="5"/>
      <c r="AQ68" s="5"/>
      <c r="AR68" s="5"/>
      <c r="AS68" s="5"/>
      <c r="AT68" s="5"/>
      <c r="AU68" s="5"/>
      <c r="AV68" s="5"/>
      <c r="AW68" s="5"/>
      <c r="AX68" s="5"/>
      <c r="AY68" s="40"/>
      <c r="AZ68" s="5"/>
      <c r="BA68" s="5"/>
      <c r="BB68" s="5"/>
      <c r="BC68" s="5"/>
      <c r="BD68" s="5"/>
      <c r="BE68" s="5"/>
      <c r="BF68" s="5"/>
      <c r="BG68" s="5"/>
      <c r="BH68" s="5"/>
      <c r="BI68" s="5"/>
      <c r="BJ68" s="5"/>
    </row>
    <row r="69" spans="1:62" customFormat="1" ht="22.5" customHeight="1" x14ac:dyDescent="0.25">
      <c r="A69" s="5"/>
      <c r="B69" s="2"/>
      <c r="C69" s="5"/>
      <c r="D69" s="5"/>
      <c r="E69" s="5"/>
      <c r="F69" s="5"/>
      <c r="G69" s="5"/>
      <c r="H69" s="5"/>
      <c r="I69" s="5"/>
      <c r="J69" s="5"/>
      <c r="K69" s="5"/>
      <c r="L69" s="5"/>
      <c r="M69" s="5"/>
      <c r="N69" s="5"/>
      <c r="O69" s="715" t="s">
        <v>285</v>
      </c>
      <c r="P69" s="715"/>
      <c r="Q69" s="715"/>
      <c r="R69" s="715"/>
      <c r="S69" s="26"/>
      <c r="T69" s="715" t="s">
        <v>286</v>
      </c>
      <c r="U69" s="715"/>
      <c r="V69" s="715"/>
      <c r="W69" s="715"/>
      <c r="X69" s="26"/>
      <c r="Y69" s="715" t="s">
        <v>287</v>
      </c>
      <c r="Z69" s="715"/>
      <c r="AA69" s="715"/>
      <c r="AB69" s="715"/>
      <c r="AC69" s="5"/>
      <c r="AD69" s="2"/>
      <c r="AE69" s="5"/>
      <c r="AF69" s="5"/>
      <c r="AG69" s="5"/>
      <c r="AH69" s="5"/>
      <c r="AI69" s="5"/>
      <c r="AJ69" s="5"/>
      <c r="AK69" s="5"/>
      <c r="AL69" s="5"/>
      <c r="AM69" s="5"/>
      <c r="AN69" s="5"/>
      <c r="AO69" s="5"/>
      <c r="AP69" s="5"/>
      <c r="AQ69" s="5"/>
      <c r="AR69" s="5"/>
      <c r="AS69" s="5"/>
      <c r="AT69" s="5"/>
      <c r="AU69" s="5"/>
      <c r="AV69" s="5"/>
      <c r="AW69" s="5"/>
      <c r="AX69" s="5"/>
      <c r="AY69" s="40"/>
      <c r="AZ69" s="5"/>
      <c r="BA69" s="5"/>
      <c r="BB69" s="5"/>
      <c r="BC69" s="5"/>
      <c r="BD69" s="5"/>
      <c r="BE69" s="5"/>
      <c r="BF69" s="5"/>
      <c r="BG69" s="5"/>
      <c r="BH69" s="5"/>
      <c r="BI69" s="5"/>
      <c r="BJ69" s="5"/>
    </row>
    <row r="70" spans="1:62" ht="15" customHeight="1" x14ac:dyDescent="0.25">
      <c r="B70" s="2"/>
      <c r="D70" s="992" t="str">
        <f>D19</f>
        <v>Papier et Carton</v>
      </c>
      <c r="E70" s="992"/>
      <c r="F70" s="992"/>
      <c r="G70" s="992"/>
      <c r="H70" s="992"/>
      <c r="I70" s="992"/>
      <c r="J70" s="992"/>
      <c r="K70" s="992"/>
      <c r="L70" s="992"/>
      <c r="M70" s="992"/>
      <c r="N70" s="992"/>
      <c r="O70" s="970" t="str">
        <f>O19</f>
        <v>N.D.</v>
      </c>
      <c r="P70" s="970"/>
      <c r="Q70" s="970"/>
      <c r="R70" s="970"/>
      <c r="S70" s="180"/>
      <c r="T70" s="970" t="str">
        <f>T19</f>
        <v>N.D.</v>
      </c>
      <c r="U70" s="970"/>
      <c r="V70" s="970"/>
      <c r="W70" s="970"/>
      <c r="X70" s="180"/>
      <c r="Y70" s="970" t="str">
        <f>Y19</f>
        <v>N.D.</v>
      </c>
      <c r="Z70" s="970"/>
      <c r="AA70" s="970"/>
      <c r="AB70" s="970"/>
      <c r="AD70" s="2"/>
      <c r="AY70" s="40"/>
    </row>
    <row r="71" spans="1:62" ht="15" customHeight="1" x14ac:dyDescent="0.25">
      <c r="B71" s="2"/>
      <c r="D71" s="992" t="str">
        <f>D20</f>
        <v>Métal</v>
      </c>
      <c r="E71" s="992"/>
      <c r="F71" s="992"/>
      <c r="G71" s="992"/>
      <c r="H71" s="992"/>
      <c r="I71" s="992"/>
      <c r="J71" s="992"/>
      <c r="K71" s="992"/>
      <c r="L71" s="992"/>
      <c r="M71" s="992"/>
      <c r="N71" s="992"/>
      <c r="O71" s="970" t="str">
        <f>O20</f>
        <v>N.D.</v>
      </c>
      <c r="P71" s="970"/>
      <c r="Q71" s="970"/>
      <c r="R71" s="970"/>
      <c r="S71" s="180"/>
      <c r="T71" s="970" t="str">
        <f>T20</f>
        <v>N.D.</v>
      </c>
      <c r="U71" s="970"/>
      <c r="V71" s="970"/>
      <c r="W71" s="970"/>
      <c r="X71" s="180"/>
      <c r="Y71" s="970" t="str">
        <f>Y20</f>
        <v>N.D.</v>
      </c>
      <c r="Z71" s="970"/>
      <c r="AA71" s="970"/>
      <c r="AB71" s="970"/>
      <c r="AD71" s="2"/>
      <c r="AY71" s="40"/>
    </row>
    <row r="72" spans="1:62" ht="15" customHeight="1" x14ac:dyDescent="0.25">
      <c r="B72" s="2"/>
      <c r="D72" s="992" t="str">
        <f>D21</f>
        <v>Plastique</v>
      </c>
      <c r="E72" s="992"/>
      <c r="F72" s="992"/>
      <c r="G72" s="992"/>
      <c r="H72" s="992"/>
      <c r="I72" s="992"/>
      <c r="J72" s="992"/>
      <c r="K72" s="992"/>
      <c r="L72" s="992"/>
      <c r="M72" s="992"/>
      <c r="N72" s="992"/>
      <c r="O72" s="970" t="str">
        <f>O21</f>
        <v>N.D.</v>
      </c>
      <c r="P72" s="970"/>
      <c r="Q72" s="970"/>
      <c r="R72" s="970"/>
      <c r="S72" s="180"/>
      <c r="T72" s="970" t="str">
        <f>T21</f>
        <v>N.D.</v>
      </c>
      <c r="U72" s="970"/>
      <c r="V72" s="970"/>
      <c r="W72" s="970"/>
      <c r="X72" s="180"/>
      <c r="Y72" s="970" t="str">
        <f>Y21</f>
        <v>N.D.</v>
      </c>
      <c r="Z72" s="970"/>
      <c r="AA72" s="970"/>
      <c r="AB72" s="970"/>
      <c r="AD72" s="2"/>
      <c r="AY72" s="40"/>
    </row>
    <row r="73" spans="1:62" ht="15" customHeight="1" x14ac:dyDescent="0.25">
      <c r="B73" s="2"/>
      <c r="D73" s="992" t="str">
        <f>D22</f>
        <v>Verre</v>
      </c>
      <c r="E73" s="992"/>
      <c r="F73" s="992"/>
      <c r="G73" s="992"/>
      <c r="H73" s="992"/>
      <c r="I73" s="992"/>
      <c r="J73" s="992"/>
      <c r="K73" s="992"/>
      <c r="L73" s="992"/>
      <c r="M73" s="992"/>
      <c r="N73" s="992"/>
      <c r="O73" s="970" t="str">
        <f>O22</f>
        <v>N.D.</v>
      </c>
      <c r="P73" s="970"/>
      <c r="Q73" s="970"/>
      <c r="R73" s="970"/>
      <c r="S73" s="180"/>
      <c r="T73" s="970" t="str">
        <f>T22</f>
        <v>N.D.</v>
      </c>
      <c r="U73" s="970"/>
      <c r="V73" s="970"/>
      <c r="W73" s="970"/>
      <c r="X73" s="180"/>
      <c r="Y73" s="970" t="str">
        <f>Y22</f>
        <v>N.D.</v>
      </c>
      <c r="Z73" s="970"/>
      <c r="AA73" s="970"/>
      <c r="AB73" s="970"/>
      <c r="AD73" s="2"/>
      <c r="AY73" s="40"/>
    </row>
    <row r="74" spans="1:62" ht="15" customHeight="1" x14ac:dyDescent="0.25">
      <c r="B74" s="2"/>
      <c r="D74" s="992" t="str">
        <f>'Données - ICI'!K106</f>
        <v>Industries de transformation agroalimentaire</v>
      </c>
      <c r="E74" s="992"/>
      <c r="F74" s="992"/>
      <c r="G74" s="992"/>
      <c r="H74" s="992"/>
      <c r="I74" s="992"/>
      <c r="J74" s="992"/>
      <c r="K74" s="992"/>
      <c r="L74" s="992"/>
      <c r="M74" s="992"/>
      <c r="N74" s="992"/>
      <c r="O74" s="970" t="str">
        <f>O29</f>
        <v>N.D.</v>
      </c>
      <c r="P74" s="970"/>
      <c r="Q74" s="970"/>
      <c r="R74" s="970"/>
      <c r="S74" s="180"/>
      <c r="T74" s="970" t="str">
        <f>T29</f>
        <v>N.D.</v>
      </c>
      <c r="U74" s="970"/>
      <c r="V74" s="970"/>
      <c r="W74" s="970"/>
      <c r="X74" s="180"/>
      <c r="Y74" s="970" t="str">
        <f>Y29</f>
        <v>N.D.</v>
      </c>
      <c r="Z74" s="970"/>
      <c r="AA74" s="970"/>
      <c r="AB74" s="970"/>
      <c r="AD74" s="2"/>
      <c r="AY74" s="40"/>
    </row>
    <row r="75" spans="1:62" ht="15" hidden="1" customHeight="1" x14ac:dyDescent="0.25">
      <c r="B75" s="2"/>
      <c r="D75" s="992" t="str">
        <f>'Données - ICI'!K151</f>
        <v>Boues de papetières</v>
      </c>
      <c r="E75" s="992"/>
      <c r="F75" s="992"/>
      <c r="G75" s="992"/>
      <c r="H75" s="992"/>
      <c r="I75" s="992"/>
      <c r="J75" s="992"/>
      <c r="K75" s="992"/>
      <c r="L75" s="992"/>
      <c r="M75" s="992"/>
      <c r="N75" s="992"/>
      <c r="O75" s="970">
        <f>0</f>
        <v>0</v>
      </c>
      <c r="P75" s="970"/>
      <c r="Q75" s="970"/>
      <c r="R75" s="970"/>
      <c r="S75" s="180"/>
      <c r="T75" s="970">
        <f>0</f>
        <v>0</v>
      </c>
      <c r="U75" s="970"/>
      <c r="V75" s="970"/>
      <c r="W75" s="970"/>
      <c r="X75" s="180"/>
      <c r="Y75" s="970">
        <f>Y30</f>
        <v>0</v>
      </c>
      <c r="Z75" s="970"/>
      <c r="AA75" s="970"/>
      <c r="AB75" s="970"/>
      <c r="AD75" s="2"/>
      <c r="AY75" s="40"/>
    </row>
    <row r="76" spans="1:62" ht="15" customHeight="1" x14ac:dyDescent="0.25">
      <c r="B76" s="2"/>
      <c r="D76" s="992" t="str">
        <f>E32</f>
        <v>Résidus verts (t)</v>
      </c>
      <c r="E76" s="992"/>
      <c r="F76" s="992"/>
      <c r="G76" s="992"/>
      <c r="H76" s="992"/>
      <c r="I76" s="992"/>
      <c r="J76" s="992"/>
      <c r="K76" s="992"/>
      <c r="L76" s="992"/>
      <c r="M76" s="992"/>
      <c r="N76" s="992"/>
      <c r="O76" s="970" t="str">
        <f>O32</f>
        <v>N.D.</v>
      </c>
      <c r="P76" s="970"/>
      <c r="Q76" s="970"/>
      <c r="R76" s="970"/>
      <c r="S76" s="180"/>
      <c r="T76" s="970" t="str">
        <f>T32</f>
        <v>N.D.</v>
      </c>
      <c r="U76" s="970"/>
      <c r="V76" s="970"/>
      <c r="W76" s="970"/>
      <c r="X76" s="180"/>
      <c r="Y76" s="970" t="str">
        <f>Y32</f>
        <v>N.D.</v>
      </c>
      <c r="Z76" s="970"/>
      <c r="AA76" s="970"/>
      <c r="AB76" s="970"/>
      <c r="AD76" s="2"/>
      <c r="AY76" s="40"/>
    </row>
    <row r="77" spans="1:62" ht="15" customHeight="1" x14ac:dyDescent="0.25">
      <c r="B77" s="2"/>
      <c r="D77" s="992" t="str">
        <f>E33</f>
        <v>Résidus alimentaires</v>
      </c>
      <c r="E77" s="992"/>
      <c r="F77" s="992"/>
      <c r="G77" s="992"/>
      <c r="H77" s="992"/>
      <c r="I77" s="992"/>
      <c r="J77" s="992"/>
      <c r="K77" s="992"/>
      <c r="L77" s="992"/>
      <c r="M77" s="992"/>
      <c r="N77" s="992"/>
      <c r="O77" s="970" t="str">
        <f>O33</f>
        <v>N.D.</v>
      </c>
      <c r="P77" s="970"/>
      <c r="Q77" s="970"/>
      <c r="R77" s="970"/>
      <c r="S77" s="180"/>
      <c r="T77" s="970" t="str">
        <f>T33</f>
        <v>N.D.</v>
      </c>
      <c r="U77" s="970"/>
      <c r="V77" s="970"/>
      <c r="W77" s="970"/>
      <c r="X77" s="180"/>
      <c r="Y77" s="970" t="str">
        <f>Y33</f>
        <v>N.D.</v>
      </c>
      <c r="Z77" s="970"/>
      <c r="AA77" s="970"/>
      <c r="AB77" s="970"/>
      <c r="AD77" s="2"/>
      <c r="AY77" s="40"/>
    </row>
    <row r="78" spans="1:62" ht="15" customHeight="1" x14ac:dyDescent="0.25">
      <c r="B78" s="2"/>
      <c r="D78" s="992" t="str">
        <f>E34</f>
        <v>Autres résidus organiques</v>
      </c>
      <c r="E78" s="992"/>
      <c r="F78" s="992"/>
      <c r="G78" s="992"/>
      <c r="H78" s="992"/>
      <c r="I78" s="992"/>
      <c r="J78" s="992"/>
      <c r="K78" s="992"/>
      <c r="L78" s="992"/>
      <c r="M78" s="992"/>
      <c r="N78" s="992"/>
      <c r="O78" s="970" t="str">
        <f>O34</f>
        <v>N.D.</v>
      </c>
      <c r="P78" s="970"/>
      <c r="Q78" s="970"/>
      <c r="R78" s="970"/>
      <c r="S78" s="180"/>
      <c r="T78" s="970" t="str">
        <f>T34</f>
        <v>N.D.</v>
      </c>
      <c r="U78" s="970"/>
      <c r="V78" s="970"/>
      <c r="W78" s="970"/>
      <c r="X78" s="180"/>
      <c r="Y78" s="970" t="str">
        <f>Y34</f>
        <v>N.D.</v>
      </c>
      <c r="Z78" s="970"/>
      <c r="AA78" s="970"/>
      <c r="AB78" s="970"/>
      <c r="AD78" s="2"/>
      <c r="AY78" s="40"/>
    </row>
    <row r="79" spans="1:62" ht="15" customHeight="1" x14ac:dyDescent="0.25">
      <c r="B79" s="2"/>
      <c r="D79" s="992" t="str">
        <f t="shared" ref="D79:D87" si="1">D41</f>
        <v>Autres résidus marins</v>
      </c>
      <c r="E79" s="992"/>
      <c r="F79" s="992"/>
      <c r="G79" s="992"/>
      <c r="H79" s="992"/>
      <c r="I79" s="992"/>
      <c r="J79" s="992"/>
      <c r="K79" s="992"/>
      <c r="L79" s="992"/>
      <c r="M79" s="992"/>
      <c r="N79" s="992"/>
      <c r="O79" s="970" t="str">
        <f t="shared" ref="O79:O87" si="2">O41</f>
        <v/>
      </c>
      <c r="P79" s="970"/>
      <c r="Q79" s="970"/>
      <c r="R79" s="970"/>
      <c r="S79" s="180"/>
      <c r="T79" s="970" t="str">
        <f t="shared" ref="T79:T87" si="3">T41</f>
        <v/>
      </c>
      <c r="U79" s="970"/>
      <c r="V79" s="970"/>
      <c r="W79" s="970"/>
      <c r="X79" s="180"/>
      <c r="Y79" s="970" t="str">
        <f t="shared" ref="Y79:Y87" si="4">Y41</f>
        <v/>
      </c>
      <c r="Z79" s="970"/>
      <c r="AA79" s="970"/>
      <c r="AB79" s="970"/>
      <c r="AD79" s="2"/>
      <c r="AY79" s="40"/>
    </row>
    <row r="80" spans="1:62" ht="15" customHeight="1" x14ac:dyDescent="0.25">
      <c r="B80" s="2"/>
      <c r="D80" s="992" t="str">
        <f t="shared" si="1"/>
        <v>Sables de fonderies</v>
      </c>
      <c r="E80" s="992"/>
      <c r="F80" s="992"/>
      <c r="G80" s="992"/>
      <c r="H80" s="992"/>
      <c r="I80" s="992"/>
      <c r="J80" s="992"/>
      <c r="K80" s="992"/>
      <c r="L80" s="992"/>
      <c r="M80" s="992"/>
      <c r="N80" s="992"/>
      <c r="O80" s="970" t="str">
        <f t="shared" si="2"/>
        <v/>
      </c>
      <c r="P80" s="970"/>
      <c r="Q80" s="970"/>
      <c r="R80" s="970"/>
      <c r="S80" s="180"/>
      <c r="T80" s="970" t="str">
        <f t="shared" si="3"/>
        <v/>
      </c>
      <c r="U80" s="970"/>
      <c r="V80" s="970"/>
      <c r="W80" s="970"/>
      <c r="X80" s="180"/>
      <c r="Y80" s="970" t="str">
        <f t="shared" si="4"/>
        <v/>
      </c>
      <c r="Z80" s="970"/>
      <c r="AA80" s="970"/>
      <c r="AB80" s="970"/>
      <c r="AD80" s="2"/>
      <c r="AY80" s="40"/>
    </row>
    <row r="81" spans="1:62" ht="15" customHeight="1" x14ac:dyDescent="0.25">
      <c r="B81" s="2"/>
      <c r="D81" s="992" t="str">
        <f t="shared" si="1"/>
        <v>Poussières de cimenteries</v>
      </c>
      <c r="E81" s="992"/>
      <c r="F81" s="992"/>
      <c r="G81" s="992"/>
      <c r="H81" s="992"/>
      <c r="I81" s="992"/>
      <c r="J81" s="992"/>
      <c r="K81" s="992"/>
      <c r="L81" s="992"/>
      <c r="M81" s="992"/>
      <c r="N81" s="992"/>
      <c r="O81" s="970" t="str">
        <f t="shared" si="2"/>
        <v/>
      </c>
      <c r="P81" s="970"/>
      <c r="Q81" s="970"/>
      <c r="R81" s="970"/>
      <c r="S81" s="180"/>
      <c r="T81" s="970" t="str">
        <f t="shared" si="3"/>
        <v/>
      </c>
      <c r="U81" s="970"/>
      <c r="V81" s="970"/>
      <c r="W81" s="970"/>
      <c r="X81" s="180"/>
      <c r="Y81" s="970" t="str">
        <f t="shared" si="4"/>
        <v/>
      </c>
      <c r="Z81" s="970"/>
      <c r="AA81" s="970"/>
      <c r="AB81" s="970"/>
      <c r="AD81" s="2"/>
      <c r="AY81" s="40"/>
    </row>
    <row r="82" spans="1:62" ht="15" customHeight="1" x14ac:dyDescent="0.25">
      <c r="B82" s="2"/>
      <c r="D82" s="992" t="str">
        <f t="shared" si="1"/>
        <v>Boues de forage</v>
      </c>
      <c r="E82" s="992"/>
      <c r="F82" s="992"/>
      <c r="G82" s="992"/>
      <c r="H82" s="992"/>
      <c r="I82" s="992"/>
      <c r="J82" s="992"/>
      <c r="K82" s="992"/>
      <c r="L82" s="992"/>
      <c r="M82" s="992"/>
      <c r="N82" s="992"/>
      <c r="O82" s="970" t="str">
        <f t="shared" si="2"/>
        <v/>
      </c>
      <c r="P82" s="970"/>
      <c r="Q82" s="970"/>
      <c r="R82" s="970"/>
      <c r="S82" s="180"/>
      <c r="T82" s="970" t="str">
        <f t="shared" si="3"/>
        <v/>
      </c>
      <c r="U82" s="970"/>
      <c r="V82" s="970"/>
      <c r="W82" s="970"/>
      <c r="X82" s="180"/>
      <c r="Y82" s="970" t="str">
        <f t="shared" si="4"/>
        <v/>
      </c>
      <c r="Z82" s="970"/>
      <c r="AA82" s="970"/>
      <c r="AB82" s="970"/>
      <c r="AD82" s="2"/>
      <c r="AY82" s="40"/>
    </row>
    <row r="83" spans="1:62" ht="15" customHeight="1" x14ac:dyDescent="0.25">
      <c r="B83" s="2"/>
      <c r="D83" s="992" t="str">
        <f t="shared" si="1"/>
        <v>Scories d’aciérie</v>
      </c>
      <c r="E83" s="992"/>
      <c r="F83" s="992"/>
      <c r="G83" s="992"/>
      <c r="H83" s="992"/>
      <c r="I83" s="992"/>
      <c r="J83" s="992"/>
      <c r="K83" s="992"/>
      <c r="L83" s="992"/>
      <c r="M83" s="992"/>
      <c r="N83" s="992"/>
      <c r="O83" s="970" t="str">
        <f t="shared" si="2"/>
        <v/>
      </c>
      <c r="P83" s="970"/>
      <c r="Q83" s="970"/>
      <c r="R83" s="970"/>
      <c r="S83" s="180"/>
      <c r="T83" s="970" t="str">
        <f t="shared" si="3"/>
        <v/>
      </c>
      <c r="U83" s="970"/>
      <c r="V83" s="970"/>
      <c r="W83" s="970"/>
      <c r="X83" s="180"/>
      <c r="Y83" s="970" t="str">
        <f t="shared" si="4"/>
        <v/>
      </c>
      <c r="Z83" s="970"/>
      <c r="AA83" s="970"/>
      <c r="AB83" s="970"/>
      <c r="AD83" s="2"/>
      <c r="AY83" s="40"/>
    </row>
    <row r="84" spans="1:62" ht="15" customHeight="1" x14ac:dyDescent="0.25">
      <c r="B84" s="2"/>
      <c r="D84" s="992" t="str">
        <f t="shared" si="1"/>
        <v>Poussières de chaux</v>
      </c>
      <c r="E84" s="992"/>
      <c r="F84" s="992"/>
      <c r="G84" s="992"/>
      <c r="H84" s="992"/>
      <c r="I84" s="992"/>
      <c r="J84" s="992"/>
      <c r="K84" s="992"/>
      <c r="L84" s="992"/>
      <c r="M84" s="992"/>
      <c r="N84" s="992"/>
      <c r="O84" s="970" t="str">
        <f t="shared" si="2"/>
        <v/>
      </c>
      <c r="P84" s="970"/>
      <c r="Q84" s="970"/>
      <c r="R84" s="970"/>
      <c r="S84" s="180"/>
      <c r="T84" s="970" t="str">
        <f t="shared" si="3"/>
        <v/>
      </c>
      <c r="U84" s="970"/>
      <c r="V84" s="970"/>
      <c r="W84" s="970"/>
      <c r="X84" s="180"/>
      <c r="Y84" s="970" t="str">
        <f t="shared" si="4"/>
        <v/>
      </c>
      <c r="Z84" s="970"/>
      <c r="AA84" s="970"/>
      <c r="AB84" s="970"/>
      <c r="AD84" s="2"/>
      <c r="AY84" s="40"/>
    </row>
    <row r="85" spans="1:62" ht="15" customHeight="1" x14ac:dyDescent="0.25">
      <c r="B85" s="2"/>
      <c r="D85" s="992" t="str">
        <f t="shared" si="1"/>
        <v>Autres résidus chaulant</v>
      </c>
      <c r="E85" s="992"/>
      <c r="F85" s="992"/>
      <c r="G85" s="992"/>
      <c r="H85" s="992"/>
      <c r="I85" s="992"/>
      <c r="J85" s="992"/>
      <c r="K85" s="992"/>
      <c r="L85" s="992"/>
      <c r="M85" s="992"/>
      <c r="N85" s="992"/>
      <c r="O85" s="970" t="str">
        <f t="shared" si="2"/>
        <v/>
      </c>
      <c r="P85" s="970"/>
      <c r="Q85" s="970"/>
      <c r="R85" s="970"/>
      <c r="S85" s="180"/>
      <c r="T85" s="970" t="str">
        <f t="shared" si="3"/>
        <v/>
      </c>
      <c r="U85" s="970"/>
      <c r="V85" s="970"/>
      <c r="W85" s="970"/>
      <c r="X85" s="180"/>
      <c r="Y85" s="970" t="str">
        <f t="shared" si="4"/>
        <v/>
      </c>
      <c r="Z85" s="970"/>
      <c r="AA85" s="970"/>
      <c r="AB85" s="970"/>
      <c r="AD85" s="2"/>
      <c r="AY85" s="40"/>
    </row>
    <row r="86" spans="1:62" ht="15" customHeight="1" x14ac:dyDescent="0.25">
      <c r="B86" s="2"/>
      <c r="D86" s="992" t="str">
        <f t="shared" si="1"/>
        <v>Pierre de taille</v>
      </c>
      <c r="E86" s="992"/>
      <c r="F86" s="992"/>
      <c r="G86" s="992"/>
      <c r="H86" s="992"/>
      <c r="I86" s="992"/>
      <c r="J86" s="992"/>
      <c r="K86" s="992"/>
      <c r="L86" s="992"/>
      <c r="M86" s="992"/>
      <c r="N86" s="992"/>
      <c r="O86" s="970" t="str">
        <f t="shared" si="2"/>
        <v/>
      </c>
      <c r="P86" s="970"/>
      <c r="Q86" s="970"/>
      <c r="R86" s="970"/>
      <c r="S86" s="180"/>
      <c r="T86" s="970" t="str">
        <f t="shared" si="3"/>
        <v/>
      </c>
      <c r="U86" s="970"/>
      <c r="V86" s="970"/>
      <c r="W86" s="970"/>
      <c r="X86" s="180"/>
      <c r="Y86" s="970" t="str">
        <f t="shared" si="4"/>
        <v/>
      </c>
      <c r="Z86" s="970"/>
      <c r="AA86" s="970"/>
      <c r="AB86" s="970"/>
      <c r="AD86" s="2"/>
      <c r="AY86" s="40"/>
    </row>
    <row r="87" spans="1:62" ht="15" customHeight="1" x14ac:dyDescent="0.25">
      <c r="B87" s="2"/>
      <c r="D87" s="992" t="str">
        <f t="shared" si="1"/>
        <v>Autres résidus</v>
      </c>
      <c r="E87" s="992"/>
      <c r="F87" s="992"/>
      <c r="G87" s="992"/>
      <c r="H87" s="992"/>
      <c r="I87" s="992"/>
      <c r="J87" s="992"/>
      <c r="K87" s="992"/>
      <c r="L87" s="992"/>
      <c r="M87" s="992"/>
      <c r="N87" s="992"/>
      <c r="O87" s="970" t="str">
        <f t="shared" si="2"/>
        <v/>
      </c>
      <c r="P87" s="970"/>
      <c r="Q87" s="970"/>
      <c r="R87" s="970"/>
      <c r="S87" s="180"/>
      <c r="T87" s="970" t="str">
        <f t="shared" si="3"/>
        <v/>
      </c>
      <c r="U87" s="970"/>
      <c r="V87" s="970"/>
      <c r="W87" s="970"/>
      <c r="X87" s="180"/>
      <c r="Y87" s="970" t="str">
        <f t="shared" si="4"/>
        <v/>
      </c>
      <c r="Z87" s="970"/>
      <c r="AA87" s="970"/>
      <c r="AB87" s="970"/>
      <c r="AD87" s="2"/>
      <c r="AY87" s="40"/>
    </row>
    <row r="88" spans="1:62" ht="15" customHeight="1" x14ac:dyDescent="0.25">
      <c r="B88" s="2"/>
      <c r="D88" s="992" t="str">
        <f>D56</f>
        <v>Rejets du tri des matières recyclables des ICI</v>
      </c>
      <c r="E88" s="992"/>
      <c r="F88" s="992"/>
      <c r="G88" s="992"/>
      <c r="H88" s="992"/>
      <c r="I88" s="992"/>
      <c r="J88" s="992"/>
      <c r="K88" s="992"/>
      <c r="L88" s="992"/>
      <c r="M88" s="992"/>
      <c r="N88" s="992"/>
      <c r="O88" s="970">
        <f>O56</f>
        <v>0</v>
      </c>
      <c r="P88" s="970"/>
      <c r="Q88" s="970"/>
      <c r="R88" s="970"/>
      <c r="S88" s="180"/>
      <c r="T88" s="970" t="str">
        <f>T56</f>
        <v>N.D.</v>
      </c>
      <c r="U88" s="970"/>
      <c r="V88" s="970"/>
      <c r="W88" s="970"/>
      <c r="X88" s="180"/>
      <c r="Y88" s="970" t="str">
        <f>Y56</f>
        <v>N.D.</v>
      </c>
      <c r="Z88" s="970"/>
      <c r="AA88" s="970"/>
      <c r="AB88" s="970"/>
      <c r="AD88" s="2"/>
      <c r="AY88" s="40"/>
    </row>
    <row r="89" spans="1:62" ht="15" customHeight="1" x14ac:dyDescent="0.25">
      <c r="B89" s="2"/>
      <c r="D89" s="992" t="str">
        <f>D57</f>
        <v>Rejets de la collecte des M.O. des ICI</v>
      </c>
      <c r="E89" s="992"/>
      <c r="F89" s="992"/>
      <c r="G89" s="992"/>
      <c r="H89" s="992"/>
      <c r="I89" s="992"/>
      <c r="J89" s="992"/>
      <c r="K89" s="992"/>
      <c r="L89" s="992"/>
      <c r="M89" s="992"/>
      <c r="N89" s="992"/>
      <c r="O89" s="970">
        <f>O57</f>
        <v>0</v>
      </c>
      <c r="P89" s="970"/>
      <c r="Q89" s="970"/>
      <c r="R89" s="970"/>
      <c r="S89" s="180"/>
      <c r="T89" s="970" t="str">
        <f>T57</f>
        <v>N.D.</v>
      </c>
      <c r="U89" s="970"/>
      <c r="V89" s="970"/>
      <c r="W89" s="970"/>
      <c r="X89" s="180"/>
      <c r="Y89" s="970" t="str">
        <f>Y57</f>
        <v>N.D.</v>
      </c>
      <c r="Z89" s="970"/>
      <c r="AA89" s="970"/>
      <c r="AB89" s="970"/>
      <c r="AD89" s="2"/>
      <c r="AY89" s="40"/>
    </row>
    <row r="90" spans="1:62" ht="30" customHeight="1" x14ac:dyDescent="0.25">
      <c r="B90" s="2"/>
      <c r="D90" s="1170" t="str">
        <f>D58</f>
        <v>Rejets des recycleurs de métaux (encombrants et véhicules hors usage)</v>
      </c>
      <c r="E90" s="1170"/>
      <c r="F90" s="1170"/>
      <c r="G90" s="1170"/>
      <c r="H90" s="1170"/>
      <c r="I90" s="1170"/>
      <c r="J90" s="1170"/>
      <c r="K90" s="1170"/>
      <c r="L90" s="1170"/>
      <c r="M90" s="1170"/>
      <c r="N90" s="1170"/>
      <c r="O90" s="970">
        <f>O58</f>
        <v>0</v>
      </c>
      <c r="P90" s="970"/>
      <c r="Q90" s="970"/>
      <c r="R90" s="970"/>
      <c r="S90" s="180"/>
      <c r="T90" s="970" t="str">
        <f>T58</f>
        <v>N.D.</v>
      </c>
      <c r="U90" s="970"/>
      <c r="V90" s="970"/>
      <c r="W90" s="970"/>
      <c r="X90" s="180"/>
      <c r="Y90" s="970" t="str">
        <f>Y58</f>
        <v>N.D.</v>
      </c>
      <c r="Z90" s="970"/>
      <c r="AA90" s="970"/>
      <c r="AB90" s="970"/>
      <c r="AD90" s="2"/>
      <c r="AY90" s="40"/>
    </row>
    <row r="91" spans="1:62" ht="15" customHeight="1" x14ac:dyDescent="0.25">
      <c r="B91" s="2"/>
      <c r="D91" s="992" t="str">
        <f>D64</f>
        <v>Résidus ultimes</v>
      </c>
      <c r="E91" s="992"/>
      <c r="F91" s="992"/>
      <c r="G91" s="992"/>
      <c r="H91" s="992"/>
      <c r="I91" s="992"/>
      <c r="J91" s="992"/>
      <c r="K91" s="992"/>
      <c r="L91" s="992"/>
      <c r="M91" s="992"/>
      <c r="N91" s="992"/>
      <c r="O91" s="970">
        <v>0</v>
      </c>
      <c r="P91" s="970"/>
      <c r="Q91" s="970"/>
      <c r="R91" s="970"/>
      <c r="S91" s="180"/>
      <c r="T91" s="970" t="str">
        <f>T64</f>
        <v>N.D.</v>
      </c>
      <c r="U91" s="970"/>
      <c r="V91" s="970"/>
      <c r="W91" s="970"/>
      <c r="X91" s="180"/>
      <c r="Y91" s="970" t="str">
        <f>IF(T91=N.D.,N.D.,SUM(O91,T91))</f>
        <v>N.D.</v>
      </c>
      <c r="Z91" s="970"/>
      <c r="AA91" s="970"/>
      <c r="AB91" s="970"/>
      <c r="AD91" s="2"/>
      <c r="AY91" s="40"/>
    </row>
    <row r="92" spans="1:62" customFormat="1" ht="6" customHeight="1" x14ac:dyDescent="0.25">
      <c r="A92" s="5"/>
      <c r="B92" s="2"/>
      <c r="C92" s="5"/>
      <c r="D92" s="103"/>
      <c r="E92" s="103"/>
      <c r="F92" s="103"/>
      <c r="G92" s="103"/>
      <c r="H92" s="103"/>
      <c r="I92" s="103"/>
      <c r="J92" s="103"/>
      <c r="K92" s="103"/>
      <c r="L92" s="103"/>
      <c r="M92" s="103"/>
      <c r="N92" s="103"/>
      <c r="O92" s="5"/>
      <c r="P92" s="5"/>
      <c r="Q92" s="5"/>
      <c r="R92" s="5"/>
      <c r="S92" s="5"/>
      <c r="T92" s="5"/>
      <c r="U92" s="5"/>
      <c r="V92" s="5"/>
      <c r="W92" s="5"/>
      <c r="X92" s="5"/>
      <c r="Y92" s="5"/>
      <c r="Z92" s="5"/>
      <c r="AA92" s="5"/>
      <c r="AB92" s="5"/>
      <c r="AC92" s="5"/>
      <c r="AD92" s="2"/>
      <c r="AE92" s="5"/>
      <c r="AF92" s="5"/>
      <c r="AG92" s="5"/>
      <c r="AH92" s="5"/>
      <c r="AI92" s="5"/>
      <c r="AJ92" s="5"/>
      <c r="AK92" s="5"/>
      <c r="AL92" s="5"/>
      <c r="AM92" s="5"/>
      <c r="AN92" s="5"/>
      <c r="AO92" s="5"/>
      <c r="AP92" s="5"/>
      <c r="AQ92" s="5"/>
      <c r="AR92" s="5"/>
      <c r="AS92" s="5"/>
      <c r="AT92" s="5"/>
      <c r="AU92" s="5"/>
      <c r="AV92" s="5"/>
      <c r="AW92" s="5"/>
      <c r="AX92" s="5"/>
      <c r="AY92" s="40"/>
      <c r="AZ92" s="5"/>
      <c r="BA92" s="5"/>
      <c r="BB92" s="5"/>
      <c r="BC92" s="5"/>
      <c r="BD92" s="5"/>
      <c r="BE92" s="5"/>
      <c r="BF92" s="5"/>
      <c r="BG92" s="5"/>
      <c r="BH92" s="5"/>
      <c r="BI92" s="5"/>
      <c r="BJ92" s="5"/>
    </row>
    <row r="93" spans="1:62" customFormat="1" ht="22.5" customHeight="1" x14ac:dyDescent="0.25">
      <c r="A93" s="5"/>
      <c r="B93" s="2"/>
      <c r="C93" s="5"/>
      <c r="D93" s="1169" t="s">
        <v>288</v>
      </c>
      <c r="E93" s="979"/>
      <c r="F93" s="979"/>
      <c r="G93" s="979"/>
      <c r="H93" s="979"/>
      <c r="I93" s="979"/>
      <c r="J93" s="979"/>
      <c r="K93" s="979"/>
      <c r="L93" s="979"/>
      <c r="M93" s="979"/>
      <c r="N93" s="979"/>
      <c r="O93" s="974">
        <f>SUM(O70:R91)</f>
        <v>0</v>
      </c>
      <c r="P93" s="974"/>
      <c r="Q93" s="974"/>
      <c r="R93" s="974"/>
      <c r="S93" s="50"/>
      <c r="T93" s="974">
        <f>SUM(T70:W91)</f>
        <v>0</v>
      </c>
      <c r="U93" s="974"/>
      <c r="V93" s="974"/>
      <c r="W93" s="974"/>
      <c r="X93" s="50"/>
      <c r="Y93" s="974">
        <f>SUM(Y70:AB91)</f>
        <v>0</v>
      </c>
      <c r="Z93" s="974"/>
      <c r="AA93" s="974"/>
      <c r="AB93" s="974"/>
      <c r="AC93" s="5"/>
      <c r="AD93" s="2"/>
      <c r="AE93" s="5"/>
      <c r="AF93" s="5"/>
      <c r="AG93" s="5"/>
      <c r="AH93" s="5"/>
      <c r="AI93" s="5"/>
      <c r="AJ93" s="5"/>
      <c r="AK93" s="5"/>
      <c r="AL93" s="5"/>
      <c r="AM93" s="5"/>
      <c r="AN93" s="5"/>
      <c r="AO93" s="5"/>
      <c r="AP93" s="5"/>
      <c r="AQ93" s="5"/>
      <c r="AR93" s="5"/>
      <c r="AS93" s="5"/>
      <c r="AT93" s="5"/>
      <c r="AU93" s="5"/>
      <c r="AV93" s="5"/>
      <c r="AW93" s="5"/>
      <c r="AX93" s="5"/>
      <c r="AY93" s="40"/>
      <c r="AZ93" s="5"/>
      <c r="BA93" s="5"/>
      <c r="BB93" s="5"/>
      <c r="BC93" s="5"/>
      <c r="BD93" s="5"/>
      <c r="BE93" s="5"/>
      <c r="BF93" s="5"/>
      <c r="BG93" s="5"/>
      <c r="BH93" s="5"/>
      <c r="BI93" s="5"/>
      <c r="BJ93" s="5"/>
    </row>
    <row r="94" spans="1:62" customFormat="1" ht="10.5" customHeight="1" x14ac:dyDescent="0.25">
      <c r="A94" s="5"/>
      <c r="B94" s="2"/>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2"/>
      <c r="AE94" s="5"/>
      <c r="AF94" s="5"/>
      <c r="AG94" s="5"/>
      <c r="AH94" s="5"/>
      <c r="AI94" s="5"/>
      <c r="AJ94" s="5"/>
      <c r="AK94" s="5"/>
      <c r="AL94" s="5"/>
      <c r="AM94" s="5"/>
      <c r="AN94" s="5"/>
      <c r="AO94" s="5"/>
      <c r="AP94" s="5"/>
      <c r="AQ94" s="5"/>
      <c r="AR94" s="5"/>
      <c r="AS94" s="5"/>
      <c r="AT94" s="5"/>
      <c r="AU94" s="5"/>
      <c r="AV94" s="5"/>
      <c r="AW94" s="5"/>
      <c r="AX94" s="5"/>
      <c r="AY94" s="40"/>
      <c r="AZ94" s="5"/>
      <c r="BA94" s="5"/>
      <c r="BB94" s="5"/>
      <c r="BC94" s="5"/>
      <c r="BD94" s="5"/>
      <c r="BE94" s="5"/>
      <c r="BF94" s="5"/>
      <c r="BG94" s="5"/>
      <c r="BH94" s="5"/>
      <c r="BI94" s="5"/>
      <c r="BJ94" s="5"/>
    </row>
    <row r="95" spans="1:62" customFormat="1" ht="22.5" customHeight="1" x14ac:dyDescent="0.25">
      <c r="A95" s="5"/>
      <c r="B95" s="2"/>
      <c r="C95" s="5"/>
      <c r="D95" s="1169" t="s">
        <v>322</v>
      </c>
      <c r="E95" s="979"/>
      <c r="F95" s="979"/>
      <c r="G95" s="979"/>
      <c r="H95" s="979"/>
      <c r="I95" s="979"/>
      <c r="J95" s="979"/>
      <c r="K95" s="979"/>
      <c r="L95" s="979"/>
      <c r="M95" s="979"/>
      <c r="N95" s="979"/>
      <c r="O95" s="974" t="str">
        <f>IF(OR('Données - ICI'!DS53=N.D.,'Données - ICI'!EA117=N.D.,'Données - ICI'!T194=N.D.),N.D.,SUM('Données - ICI'!DS53,'Données - ICI'!EA117,'Données - ICI'!T194))</f>
        <v>N.D.</v>
      </c>
      <c r="P95" s="974"/>
      <c r="Q95" s="974"/>
      <c r="R95" s="974"/>
      <c r="S95" s="50"/>
      <c r="T95" s="974" t="str">
        <f>IF(OR('Données - ICI'!DX53=N.D.,'Données - ICI'!EF117=N.D.,'Données - ICI'!DX185=N.D.,'Données - ICI'!EB185=N.D.,'Données - ICI'!EF185=N.D.,'Données - ICI'!W277=N.D.,'Données - ICI'!EN282=N.D.),N.D.,SUM('Données - ICI'!DX53,'Données - ICI'!EF117,'Données - ICI'!DX185,'Données - ICI'!EB185,'Données - ICI'!EF185,'Données - ICI'!W277,'Données - ICI'!EN282))</f>
        <v>N.D.</v>
      </c>
      <c r="U95" s="974"/>
      <c r="V95" s="974"/>
      <c r="W95" s="974"/>
      <c r="X95" s="50"/>
      <c r="Y95" s="974" t="str">
        <f>IF(OR(O95=N.D.,T95=N.D.),N.D.,SUM(O95,T95))</f>
        <v>N.D.</v>
      </c>
      <c r="Z95" s="974"/>
      <c r="AA95" s="974"/>
      <c r="AB95" s="974"/>
      <c r="AC95" s="5"/>
      <c r="AD95" s="2"/>
      <c r="AE95" s="5"/>
      <c r="AF95" s="5"/>
      <c r="AG95" s="5"/>
      <c r="AH95" s="5"/>
      <c r="AI95" s="5"/>
      <c r="AJ95" s="5"/>
      <c r="AK95" s="5"/>
      <c r="AL95" s="5"/>
      <c r="AM95" s="5"/>
      <c r="AN95" s="5"/>
      <c r="AO95" s="5"/>
      <c r="AP95" s="5"/>
      <c r="AQ95" s="5"/>
      <c r="AR95" s="5"/>
      <c r="AS95" s="5"/>
      <c r="AT95" s="5"/>
      <c r="AU95" s="5"/>
      <c r="AV95" s="5"/>
      <c r="AW95" s="5"/>
      <c r="AX95" s="5"/>
      <c r="AY95" s="40"/>
      <c r="AZ95" s="5"/>
      <c r="BA95" s="5"/>
      <c r="BB95" s="5"/>
      <c r="BC95" s="5"/>
      <c r="BD95" s="5"/>
      <c r="BE95" s="5"/>
      <c r="BF95" s="5"/>
      <c r="BG95" s="5"/>
      <c r="BH95" s="5"/>
      <c r="BI95" s="5"/>
      <c r="BJ95" s="5"/>
    </row>
    <row r="96" spans="1:62" ht="22.5" customHeight="1" x14ac:dyDescent="0.25">
      <c r="B96" s="2"/>
      <c r="D96" s="103"/>
      <c r="E96" s="103"/>
      <c r="F96" s="103"/>
      <c r="G96" s="103"/>
      <c r="H96" s="103"/>
      <c r="I96" s="103"/>
      <c r="J96" s="103"/>
      <c r="K96" s="103"/>
      <c r="L96" s="103"/>
      <c r="M96" s="103"/>
      <c r="N96" s="103"/>
      <c r="AD96" s="2"/>
      <c r="AY96" s="40"/>
    </row>
    <row r="97" spans="2:56" ht="5.25" customHeight="1"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40"/>
      <c r="AF97" s="40"/>
      <c r="AG97" s="40"/>
      <c r="AH97" s="40"/>
      <c r="AI97" s="40"/>
      <c r="AJ97" s="40"/>
      <c r="AK97" s="40"/>
      <c r="AL97" s="40"/>
      <c r="AM97" s="40"/>
      <c r="AN97" s="40"/>
      <c r="AO97" s="40"/>
      <c r="AP97" s="40"/>
      <c r="AQ97" s="40"/>
      <c r="AR97" s="40"/>
      <c r="AS97" s="40"/>
      <c r="AT97" s="40"/>
      <c r="AU97" s="40"/>
      <c r="AV97" s="40"/>
      <c r="AW97" s="40"/>
      <c r="AX97" s="40"/>
      <c r="AY97" s="40"/>
    </row>
    <row r="98" spans="2:56" ht="15" customHeight="1" x14ac:dyDescent="0.25">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row>
    <row r="101" spans="2:56" x14ac:dyDescent="0.25">
      <c r="C101" s="54"/>
      <c r="D101" s="54"/>
      <c r="E101" s="54"/>
      <c r="F101" s="54"/>
      <c r="G101" s="54"/>
      <c r="H101" s="54"/>
      <c r="I101" s="54"/>
      <c r="J101" s="54"/>
    </row>
  </sheetData>
  <sheetProtection algorithmName="SHA-512" hashValue="CK23J8zYvyO8xSL6gLTIfifoOhQutfMA723hEl9BR5P5q8QqaNKxK87kQ6yLCLu3tyjFdkznCH02Q5jAxXmFZQ==" saltValue="TaU8swDAIHCJ5hZCrbD0pw==" spinCount="100000" sheet="1" objects="1" scenarios="1"/>
  <mergeCells count="253">
    <mergeCell ref="D93:N93"/>
    <mergeCell ref="O93:R93"/>
    <mergeCell ref="T93:W93"/>
    <mergeCell ref="Y93:AB93"/>
    <mergeCell ref="D95:N95"/>
    <mergeCell ref="O95:R95"/>
    <mergeCell ref="T95:W95"/>
    <mergeCell ref="Y95:AB95"/>
    <mergeCell ref="D89:N89"/>
    <mergeCell ref="O89:R89"/>
    <mergeCell ref="T89:W89"/>
    <mergeCell ref="Y89:AB89"/>
    <mergeCell ref="D90:N90"/>
    <mergeCell ref="O90:R90"/>
    <mergeCell ref="T90:W90"/>
    <mergeCell ref="Y90:AB90"/>
    <mergeCell ref="D91:N91"/>
    <mergeCell ref="O91:R91"/>
    <mergeCell ref="T91:W91"/>
    <mergeCell ref="Y91:AB91"/>
    <mergeCell ref="D86:N86"/>
    <mergeCell ref="O86:R86"/>
    <mergeCell ref="T86:W86"/>
    <mergeCell ref="Y86:AB86"/>
    <mergeCell ref="D87:N87"/>
    <mergeCell ref="O87:R87"/>
    <mergeCell ref="T87:W87"/>
    <mergeCell ref="Y87:AB87"/>
    <mergeCell ref="D88:N88"/>
    <mergeCell ref="O88:R88"/>
    <mergeCell ref="T88:W88"/>
    <mergeCell ref="Y88:AB88"/>
    <mergeCell ref="D83:N83"/>
    <mergeCell ref="O83:R83"/>
    <mergeCell ref="T83:W83"/>
    <mergeCell ref="Y83:AB83"/>
    <mergeCell ref="D84:N84"/>
    <mergeCell ref="O84:R84"/>
    <mergeCell ref="T84:W84"/>
    <mergeCell ref="Y84:AB84"/>
    <mergeCell ref="D85:N85"/>
    <mergeCell ref="O85:R85"/>
    <mergeCell ref="T85:W85"/>
    <mergeCell ref="Y85:AB85"/>
    <mergeCell ref="D80:N80"/>
    <mergeCell ref="O80:R80"/>
    <mergeCell ref="T80:W80"/>
    <mergeCell ref="Y80:AB80"/>
    <mergeCell ref="D81:N81"/>
    <mergeCell ref="O81:R81"/>
    <mergeCell ref="T81:W81"/>
    <mergeCell ref="Y81:AB81"/>
    <mergeCell ref="D82:N82"/>
    <mergeCell ref="O82:R82"/>
    <mergeCell ref="T82:W82"/>
    <mergeCell ref="Y82:AB82"/>
    <mergeCell ref="D77:N77"/>
    <mergeCell ref="O77:R77"/>
    <mergeCell ref="T77:W77"/>
    <mergeCell ref="Y77:AB77"/>
    <mergeCell ref="D78:N78"/>
    <mergeCell ref="O78:R78"/>
    <mergeCell ref="T78:W78"/>
    <mergeCell ref="Y78:AB78"/>
    <mergeCell ref="D79:N79"/>
    <mergeCell ref="O79:R79"/>
    <mergeCell ref="T79:W79"/>
    <mergeCell ref="Y79:AB79"/>
    <mergeCell ref="D74:N74"/>
    <mergeCell ref="O74:R74"/>
    <mergeCell ref="T74:W74"/>
    <mergeCell ref="Y74:AB74"/>
    <mergeCell ref="D75:N75"/>
    <mergeCell ref="O75:R75"/>
    <mergeCell ref="T75:W75"/>
    <mergeCell ref="Y75:AB75"/>
    <mergeCell ref="D76:N76"/>
    <mergeCell ref="O76:R76"/>
    <mergeCell ref="T76:W76"/>
    <mergeCell ref="Y76:AB76"/>
    <mergeCell ref="D71:N71"/>
    <mergeCell ref="O71:R71"/>
    <mergeCell ref="T71:W71"/>
    <mergeCell ref="Y71:AB71"/>
    <mergeCell ref="D72:N72"/>
    <mergeCell ref="O72:R72"/>
    <mergeCell ref="T72:W72"/>
    <mergeCell ref="Y72:AB72"/>
    <mergeCell ref="D73:N73"/>
    <mergeCell ref="O73:R73"/>
    <mergeCell ref="T73:W73"/>
    <mergeCell ref="Y73:AB73"/>
    <mergeCell ref="D68:N68"/>
    <mergeCell ref="O68:AB68"/>
    <mergeCell ref="O69:R69"/>
    <mergeCell ref="T69:W69"/>
    <mergeCell ref="Y69:AB69"/>
    <mergeCell ref="D70:N70"/>
    <mergeCell ref="O70:R70"/>
    <mergeCell ref="T70:W70"/>
    <mergeCell ref="Y70:AB70"/>
    <mergeCell ref="AS24:AT24"/>
    <mergeCell ref="O26:AB26"/>
    <mergeCell ref="Y32:AB32"/>
    <mergeCell ref="Y33:AB33"/>
    <mergeCell ref="Y34:AB34"/>
    <mergeCell ref="O32:R32"/>
    <mergeCell ref="T32:W32"/>
    <mergeCell ref="T33:W33"/>
    <mergeCell ref="T34:W34"/>
    <mergeCell ref="Y30:AB30"/>
    <mergeCell ref="Y28:AB28"/>
    <mergeCell ref="O29:R29"/>
    <mergeCell ref="T29:W29"/>
    <mergeCell ref="Y29:AB29"/>
    <mergeCell ref="AU21:AW21"/>
    <mergeCell ref="O22:R22"/>
    <mergeCell ref="T22:W22"/>
    <mergeCell ref="Y22:AB22"/>
    <mergeCell ref="AF22:AS22"/>
    <mergeCell ref="AU22:AW22"/>
    <mergeCell ref="O21:R21"/>
    <mergeCell ref="T21:W21"/>
    <mergeCell ref="Y21:AB21"/>
    <mergeCell ref="AF21:AS21"/>
    <mergeCell ref="AU19:AW19"/>
    <mergeCell ref="O20:R20"/>
    <mergeCell ref="T20:W20"/>
    <mergeCell ref="Y20:AB20"/>
    <mergeCell ref="AF20:AS20"/>
    <mergeCell ref="AU20:AW20"/>
    <mergeCell ref="O19:R19"/>
    <mergeCell ref="T19:W19"/>
    <mergeCell ref="AF19:AS19"/>
    <mergeCell ref="AE12:AY12"/>
    <mergeCell ref="D14:N14"/>
    <mergeCell ref="O14:AB14"/>
    <mergeCell ref="AO14:AW14"/>
    <mergeCell ref="C5:I5"/>
    <mergeCell ref="O5:Z5"/>
    <mergeCell ref="C7:N7"/>
    <mergeCell ref="O7:Z7"/>
    <mergeCell ref="AO16:AW16"/>
    <mergeCell ref="O16:R17"/>
    <mergeCell ref="T16:W17"/>
    <mergeCell ref="Y16:AB17"/>
    <mergeCell ref="AO17:AT17"/>
    <mergeCell ref="T40:W40"/>
    <mergeCell ref="Y40:AB40"/>
    <mergeCell ref="O33:R33"/>
    <mergeCell ref="O34:R34"/>
    <mergeCell ref="Y19:AB19"/>
    <mergeCell ref="O28:R28"/>
    <mergeCell ref="T24:W24"/>
    <mergeCell ref="Y31:AB31"/>
    <mergeCell ref="O31:R31"/>
    <mergeCell ref="T31:W31"/>
    <mergeCell ref="O24:R24"/>
    <mergeCell ref="Y24:AB24"/>
    <mergeCell ref="Y36:AB36"/>
    <mergeCell ref="AS36:AT36"/>
    <mergeCell ref="D52:N52"/>
    <mergeCell ref="O52:R52"/>
    <mergeCell ref="T52:W52"/>
    <mergeCell ref="Y52:AB52"/>
    <mergeCell ref="AS52:AT52"/>
    <mergeCell ref="D50:N50"/>
    <mergeCell ref="T46:W46"/>
    <mergeCell ref="Y46:AB46"/>
    <mergeCell ref="D38:N38"/>
    <mergeCell ref="T49:W49"/>
    <mergeCell ref="Y49:AB49"/>
    <mergeCell ref="O46:R46"/>
    <mergeCell ref="O43:R43"/>
    <mergeCell ref="T43:W43"/>
    <mergeCell ref="Y43:AB43"/>
    <mergeCell ref="O44:R44"/>
    <mergeCell ref="T44:W44"/>
    <mergeCell ref="Y44:AB44"/>
    <mergeCell ref="T45:W45"/>
    <mergeCell ref="Y45:AB45"/>
    <mergeCell ref="D47:N47"/>
    <mergeCell ref="D48:N48"/>
    <mergeCell ref="O47:R47"/>
    <mergeCell ref="D41:N41"/>
    <mergeCell ref="O41:R41"/>
    <mergeCell ref="D19:N19"/>
    <mergeCell ref="D36:N36"/>
    <mergeCell ref="O36:R36"/>
    <mergeCell ref="T36:W36"/>
    <mergeCell ref="T28:W28"/>
    <mergeCell ref="D30:N30"/>
    <mergeCell ref="O30:R30"/>
    <mergeCell ref="T30:W30"/>
    <mergeCell ref="D24:N24"/>
    <mergeCell ref="D22:N22"/>
    <mergeCell ref="D26:N26"/>
    <mergeCell ref="E34:N34"/>
    <mergeCell ref="E33:N33"/>
    <mergeCell ref="E32:N32"/>
    <mergeCell ref="D31:N31"/>
    <mergeCell ref="D29:N29"/>
    <mergeCell ref="D21:N21"/>
    <mergeCell ref="D20:N20"/>
    <mergeCell ref="T41:W41"/>
    <mergeCell ref="O38:AB38"/>
    <mergeCell ref="Y41:AB41"/>
    <mergeCell ref="O40:R40"/>
    <mergeCell ref="D49:N49"/>
    <mergeCell ref="D43:N43"/>
    <mergeCell ref="D44:N44"/>
    <mergeCell ref="D45:N45"/>
    <mergeCell ref="D46:N46"/>
    <mergeCell ref="D42:N42"/>
    <mergeCell ref="O42:R42"/>
    <mergeCell ref="T42:W42"/>
    <mergeCell ref="Y42:AB42"/>
    <mergeCell ref="O48:R48"/>
    <mergeCell ref="T48:W48"/>
    <mergeCell ref="Y48:AB48"/>
    <mergeCell ref="O49:R49"/>
    <mergeCell ref="T47:W47"/>
    <mergeCell ref="Y47:AB47"/>
    <mergeCell ref="O45:R45"/>
    <mergeCell ref="AO54:AW54"/>
    <mergeCell ref="D57:N57"/>
    <mergeCell ref="O57:R57"/>
    <mergeCell ref="T57:W57"/>
    <mergeCell ref="Y57:AB57"/>
    <mergeCell ref="D56:N56"/>
    <mergeCell ref="O56:R56"/>
    <mergeCell ref="T56:W56"/>
    <mergeCell ref="Y56:AB56"/>
    <mergeCell ref="D54:N54"/>
    <mergeCell ref="O54:AB54"/>
    <mergeCell ref="D64:N64"/>
    <mergeCell ref="O63:R63"/>
    <mergeCell ref="T63:W63"/>
    <mergeCell ref="Y63:AB63"/>
    <mergeCell ref="T64:W64"/>
    <mergeCell ref="D62:N62"/>
    <mergeCell ref="O62:AB62"/>
    <mergeCell ref="O55:R55"/>
    <mergeCell ref="T55:W55"/>
    <mergeCell ref="Y55:AB55"/>
    <mergeCell ref="D60:N60"/>
    <mergeCell ref="O60:R60"/>
    <mergeCell ref="T60:W60"/>
    <mergeCell ref="Y60:AB60"/>
    <mergeCell ref="D58:N58"/>
    <mergeCell ref="O58:R58"/>
    <mergeCell ref="T58:W58"/>
    <mergeCell ref="Y58:AB58"/>
  </mergeCells>
  <phoneticPr fontId="26" type="noConversion"/>
  <conditionalFormatting sqref="AF19 AF21:AF22">
    <cfRule type="expression" dxfId="53" priority="18" stopIfTrue="1">
      <formula>AF19=BA19</formula>
    </cfRule>
    <cfRule type="expression" dxfId="52" priority="19" stopIfTrue="1">
      <formula>NOT(ISERROR(SEARCH("aucun message",AF19)))</formula>
    </cfRule>
    <cfRule type="expression" dxfId="51" priority="20" stopIfTrue="1">
      <formula>NOT(ISERROR(SEARCH("désactivé",AF19)))</formula>
    </cfRule>
  </conditionalFormatting>
  <conditionalFormatting sqref="O62:AB62 O68:AB68 O26:AB26 O14:AB15 O38:AB38 O54:AB54">
    <cfRule type="expression" dxfId="50" priority="21" stopIfTrue="1">
      <formula>LEN(TRIM(O14))=0</formula>
    </cfRule>
  </conditionalFormatting>
  <conditionalFormatting sqref="Y30:AB30 O30:R30 T30:W30">
    <cfRule type="expression" dxfId="49" priority="23" stopIfTrue="1">
      <formula>NOT($BJ$30="")</formula>
    </cfRule>
  </conditionalFormatting>
  <conditionalFormatting sqref="AU19:AV19 AU21:AV22 AO14:AW15 AO54:AW55">
    <cfRule type="expression" dxfId="48" priority="24" stopIfTrue="1">
      <formula>LEN(TRIM(AO14))&gt;0</formula>
    </cfRule>
  </conditionalFormatting>
  <conditionalFormatting sqref="AO16:AO18 AP17:AW18 AT19:AW19 AT21:AW22">
    <cfRule type="expression" dxfId="47" priority="25" stopIfTrue="1">
      <formula>$AO$14="désactivation globale"</formula>
    </cfRule>
    <cfRule type="expression" dxfId="46" priority="26" stopIfTrue="1">
      <formula>$AO$14="activation globale"</formula>
    </cfRule>
  </conditionalFormatting>
  <conditionalFormatting sqref="O29:R29 T29:W29 Y29:AB29">
    <cfRule type="expression" dxfId="45" priority="27" stopIfTrue="1">
      <formula>NOT($BJ$29="")</formula>
    </cfRule>
  </conditionalFormatting>
  <conditionalFormatting sqref="O31:R34 T31:W34 Y31:AB34">
    <cfRule type="expression" dxfId="44" priority="28" stopIfTrue="1">
      <formula>NOT($BJ$31="")</formula>
    </cfRule>
  </conditionalFormatting>
  <conditionalFormatting sqref="O36:R36 T36:W36 Y36:AB36">
    <cfRule type="expression" dxfId="43" priority="29" stopIfTrue="1">
      <formula>NOT($O$26="")</formula>
    </cfRule>
  </conditionalFormatting>
  <conditionalFormatting sqref="T64:W64">
    <cfRule type="expression" dxfId="42" priority="30" stopIfTrue="1">
      <formula>$T$64=N.D.</formula>
    </cfRule>
  </conditionalFormatting>
  <conditionalFormatting sqref="Y60:AB60 T56:W58 O56:R58 Y56:AB58 O60 T60">
    <cfRule type="expression" dxfId="41" priority="31" stopIfTrue="1">
      <formula>NOT($O$54="")</formula>
    </cfRule>
  </conditionalFormatting>
  <conditionalFormatting sqref="O93:R93 T93:W93 Y93:AB93 O70:R91 T70:W91 Y70:AB91">
    <cfRule type="expression" dxfId="40" priority="7" stopIfTrue="1">
      <formula>NOT($O$68="")</formula>
    </cfRule>
  </conditionalFormatting>
  <conditionalFormatting sqref="O95:R95 T95:W95 Y95:AB95">
    <cfRule type="expression" dxfId="39" priority="6" stopIfTrue="1">
      <formula>O95=N.D.</formula>
    </cfRule>
  </conditionalFormatting>
  <conditionalFormatting sqref="O19:R19">
    <cfRule type="expression" dxfId="38" priority="2">
      <formula>$O$14&lt;&gt;""</formula>
    </cfRule>
  </conditionalFormatting>
  <conditionalFormatting sqref="O20:R22 O24:R24 T19:W22 T24:W24 Y19:AB22 Y24:AB24">
    <cfRule type="expression" dxfId="37" priority="1">
      <formula>$O$14&lt;&gt;""</formula>
    </cfRule>
  </conditionalFormatting>
  <dataValidations count="2">
    <dataValidation type="list" allowBlank="1" showInputMessage="1" showErrorMessage="1" sqref="AU19:AW22" xr:uid="{00000000-0002-0000-0400-000000000000}">
      <formula1>deroulant_activation_I</formula1>
    </dataValidation>
    <dataValidation type="list" allowBlank="1" showInputMessage="1" showErrorMessage="1" sqref="AO14:AW15 AO54:AW55" xr:uid="{00000000-0002-0000-0400-000001000000}">
      <formula1>deroulant_activation_G</formula1>
    </dataValidation>
  </dataValidations>
  <printOptions horizontalCentered="1"/>
  <pageMargins left="0.39370078740157483" right="0.39370078740157483" top="0.39370078740157483" bottom="0.39370078740157483" header="0.31496062992125984" footer="0.31496062992125984"/>
  <pageSetup fitToHeight="0" orientation="portrait"/>
  <headerFooter alignWithMargins="0">
    <oddFooter>&amp;RRésultats du secteur ICI - Page &amp;P de &amp;N</oddFooter>
  </headerFooter>
  <rowBreaks count="2" manualBreakCount="2">
    <brk id="37" min="1" max="29" man="1"/>
    <brk id="67" min="1" max="29" man="1"/>
  </rowBreaks>
  <colBreaks count="1" manualBreakCount="1">
    <brk id="2" min="11" max="96"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indexed="53"/>
    <outlinePr summaryBelow="0"/>
    <pageSetUpPr fitToPage="1"/>
  </sheetPr>
  <dimension ref="A1:EE45"/>
  <sheetViews>
    <sheetView showGridLines="0" showRowColHeaders="0" topLeftCell="E1" workbookViewId="0">
      <selection activeCell="E1" sqref="E1"/>
    </sheetView>
  </sheetViews>
  <sheetFormatPr baseColWidth="10" defaultColWidth="3.140625" defaultRowHeight="15" x14ac:dyDescent="0.25"/>
  <cols>
    <col min="1" max="1" width="32.42578125" style="5" hidden="1" customWidth="1"/>
    <col min="2" max="2" width="8.7109375" style="5" hidden="1" customWidth="1"/>
    <col min="3" max="3" width="9.42578125" style="72" hidden="1" customWidth="1"/>
    <col min="4" max="4" width="3.140625" style="72" hidden="1" customWidth="1"/>
    <col min="5" max="5" width="3.140625" style="36" customWidth="1"/>
    <col min="6" max="6" width="1" style="5" customWidth="1"/>
    <col min="7" max="15" width="3.140625" style="5" customWidth="1"/>
    <col min="16" max="16" width="9.5703125" style="5" customWidth="1"/>
    <col min="17" max="29" width="3.140625" style="5" customWidth="1"/>
    <col min="30" max="30" width="4.7109375" style="5" customWidth="1"/>
    <col min="31" max="38" width="3.140625" style="5" customWidth="1"/>
    <col min="39" max="39" width="4.42578125" style="5" customWidth="1"/>
    <col min="40" max="45" width="3.140625" style="5" customWidth="1"/>
    <col min="46" max="46" width="7.140625" style="5" customWidth="1"/>
    <col min="47" max="55" width="3.140625" style="5" customWidth="1"/>
    <col min="56" max="56" width="3" style="5" customWidth="1"/>
    <col min="57" max="57" width="3.42578125" style="5" customWidth="1"/>
    <col min="58" max="58" width="3.5703125" style="5" customWidth="1"/>
    <col min="59" max="59" width="3.7109375" style="5" customWidth="1"/>
    <col min="60" max="60" width="3.28515625" style="5" customWidth="1"/>
    <col min="61" max="66" width="3.140625" style="5" customWidth="1"/>
    <col min="67" max="67" width="1" style="5" customWidth="1"/>
    <col min="68" max="68" width="3.140625" style="5" customWidth="1"/>
    <col min="69" max="94" width="3.140625" style="5" hidden="1" customWidth="1"/>
    <col min="95" max="95" width="4.42578125" style="5" hidden="1" customWidth="1"/>
    <col min="96" max="97" width="3.140625" style="5" hidden="1" customWidth="1"/>
    <col min="98" max="301" width="3.140625" style="5" customWidth="1"/>
    <col min="302" max="16384" width="3.140625" style="5"/>
  </cols>
  <sheetData>
    <row r="1" spans="1:135" x14ac:dyDescent="0.25">
      <c r="B1" s="6" t="s">
        <v>306</v>
      </c>
      <c r="C1" s="71" t="s">
        <v>307</v>
      </c>
    </row>
    <row r="2" spans="1:135" ht="22.5" customHeight="1" x14ac:dyDescent="0.25">
      <c r="B2" s="5">
        <v>4</v>
      </c>
      <c r="F2" s="18"/>
      <c r="G2" s="18"/>
      <c r="H2" s="18" t="str">
        <f>B2&amp;"."</f>
        <v>4.</v>
      </c>
      <c r="I2" s="206" t="s">
        <v>30</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272" t="str">
        <f>"Version "&amp;Paramètres!$G$3</f>
        <v>Version 2022</v>
      </c>
      <c r="BO2" s="18"/>
    </row>
    <row r="3" spans="1:135" ht="3.75" customHeight="1" x14ac:dyDescent="0.25">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row>
    <row r="4" spans="1:135" ht="15" customHeight="1" thickBot="1" x14ac:dyDescent="0.3">
      <c r="F4" s="18"/>
      <c r="BO4" s="18"/>
    </row>
    <row r="5" spans="1:135" ht="15" customHeight="1" thickTop="1" thickBot="1" x14ac:dyDescent="0.3">
      <c r="A5" s="5" t="s">
        <v>82</v>
      </c>
      <c r="C5" s="72">
        <v>1</v>
      </c>
      <c r="F5" s="18"/>
      <c r="H5" s="12"/>
      <c r="I5" s="70" t="str">
        <f>CONCATENATE($B$2,".",$C5,".")</f>
        <v>4.1.</v>
      </c>
      <c r="J5" s="672" t="s">
        <v>724</v>
      </c>
      <c r="K5" s="672"/>
      <c r="L5" s="672"/>
      <c r="M5" s="672"/>
      <c r="N5" s="672"/>
      <c r="O5" s="672"/>
      <c r="P5" s="672"/>
      <c r="Q5" s="672"/>
      <c r="R5" s="672"/>
      <c r="S5" s="672"/>
      <c r="T5" s="672"/>
      <c r="U5" s="1193"/>
      <c r="V5" s="1193"/>
      <c r="W5" s="1193"/>
      <c r="X5" s="1193"/>
      <c r="Y5" s="1193"/>
      <c r="Z5" s="597"/>
      <c r="AA5" s="679" t="s">
        <v>79</v>
      </c>
      <c r="AB5" s="679"/>
      <c r="AK5" s="1180" t="str">
        <f>titre_marge</f>
        <v>Écart de validation recommandé</v>
      </c>
      <c r="AL5" s="1181"/>
      <c r="AM5" s="1181"/>
      <c r="AN5" s="1181"/>
      <c r="AO5" s="1181"/>
      <c r="AP5" s="1181"/>
      <c r="AQ5" s="1181"/>
      <c r="AR5" s="1181"/>
      <c r="AS5" s="1181"/>
      <c r="AT5" s="1181"/>
      <c r="AU5" s="1181"/>
      <c r="AV5" s="1181"/>
      <c r="AW5" s="1181"/>
      <c r="AX5" s="1182"/>
      <c r="BJ5" s="19"/>
      <c r="BK5" s="19"/>
      <c r="BL5" s="19"/>
      <c r="BM5" s="19"/>
      <c r="BO5" s="18"/>
    </row>
    <row r="6" spans="1:135" ht="17.25" customHeight="1" thickTop="1" x14ac:dyDescent="0.25">
      <c r="F6" s="18"/>
      <c r="H6" s="12"/>
      <c r="I6" s="70"/>
      <c r="J6" s="100"/>
      <c r="K6" s="100"/>
      <c r="L6" s="100"/>
      <c r="M6" s="100"/>
      <c r="N6" s="100"/>
      <c r="O6" s="100"/>
      <c r="P6" s="100"/>
      <c r="Q6" s="100"/>
      <c r="R6" s="100"/>
      <c r="S6" s="100"/>
      <c r="T6" s="100"/>
      <c r="U6" s="100"/>
      <c r="V6" s="100"/>
      <c r="W6" s="100"/>
      <c r="X6" s="100"/>
      <c r="Y6" s="100"/>
      <c r="Z6" s="100"/>
      <c r="AA6" s="100"/>
      <c r="AB6" s="100"/>
      <c r="AK6" s="1183" t="str">
        <f>texte_marge&amp;(Paramètres!E3*100)&amp;" %."</f>
        <v>Les données fournies par l'outil sont basées sur des moyennes québécoises. Il est donc normal qu'il y ait un écart entre vos données (si vous en avez saisi) et celles suggérées. L'écart de validation considéré comme acceptable est de 50 %.</v>
      </c>
      <c r="AL6" s="1184"/>
      <c r="AM6" s="1184"/>
      <c r="AN6" s="1184"/>
      <c r="AO6" s="1184"/>
      <c r="AP6" s="1184"/>
      <c r="AQ6" s="1184"/>
      <c r="AR6" s="1184"/>
      <c r="AS6" s="1184"/>
      <c r="AT6" s="1184"/>
      <c r="AU6" s="1184"/>
      <c r="AV6" s="1184"/>
      <c r="AW6" s="1184"/>
      <c r="AX6" s="1184"/>
      <c r="AY6" s="1184"/>
      <c r="AZ6" s="1184"/>
      <c r="BA6" s="1184"/>
      <c r="BB6" s="1184"/>
      <c r="BC6" s="1184"/>
      <c r="BD6" s="1184"/>
      <c r="BE6" s="1184"/>
      <c r="BF6" s="1184"/>
      <c r="BG6" s="1185"/>
      <c r="BH6" s="603"/>
      <c r="BI6" s="195"/>
      <c r="BJ6" s="195"/>
      <c r="BK6" s="195"/>
      <c r="BL6" s="195"/>
      <c r="BM6" s="195"/>
      <c r="BO6" s="18"/>
    </row>
    <row r="7" spans="1:135" s="19" customFormat="1" ht="15" customHeight="1" x14ac:dyDescent="0.25">
      <c r="C7" s="73"/>
      <c r="D7" s="73"/>
      <c r="E7" s="21"/>
      <c r="F7" s="18"/>
      <c r="AK7" s="1186"/>
      <c r="AL7" s="1187"/>
      <c r="AM7" s="1187"/>
      <c r="AN7" s="1187"/>
      <c r="AO7" s="1187"/>
      <c r="AP7" s="1187"/>
      <c r="AQ7" s="1187"/>
      <c r="AR7" s="1187"/>
      <c r="AS7" s="1187"/>
      <c r="AT7" s="1187"/>
      <c r="AU7" s="1187"/>
      <c r="AV7" s="1187"/>
      <c r="AW7" s="1187"/>
      <c r="AX7" s="1187"/>
      <c r="AY7" s="1187"/>
      <c r="AZ7" s="1187"/>
      <c r="BA7" s="1187"/>
      <c r="BB7" s="1187"/>
      <c r="BC7" s="1187"/>
      <c r="BD7" s="1187"/>
      <c r="BE7" s="1187"/>
      <c r="BF7" s="1187"/>
      <c r="BG7" s="1188"/>
      <c r="BH7" s="603"/>
      <c r="BI7" s="195"/>
      <c r="BJ7" s="195"/>
      <c r="BK7" s="195"/>
      <c r="BL7" s="195"/>
      <c r="BM7" s="195"/>
      <c r="BO7" s="18"/>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row>
    <row r="8" spans="1:135" s="19" customFormat="1" ht="15" customHeight="1" x14ac:dyDescent="0.25">
      <c r="C8" s="73">
        <f>C5+1</f>
        <v>2</v>
      </c>
      <c r="D8" s="73"/>
      <c r="E8" s="21"/>
      <c r="F8" s="18"/>
      <c r="H8" s="12"/>
      <c r="I8" s="70" t="str">
        <f>CONCATENATE($B$2,".",$C8,".")</f>
        <v>4.2.</v>
      </c>
      <c r="J8" s="1194" t="s">
        <v>284</v>
      </c>
      <c r="K8" s="1194"/>
      <c r="L8" s="1194"/>
      <c r="M8" s="1194"/>
      <c r="N8" s="1194"/>
      <c r="O8" s="1194"/>
      <c r="AK8" s="1186"/>
      <c r="AL8" s="1187"/>
      <c r="AM8" s="1187"/>
      <c r="AN8" s="1187"/>
      <c r="AO8" s="1187"/>
      <c r="AP8" s="1187"/>
      <c r="AQ8" s="1187"/>
      <c r="AR8" s="1187"/>
      <c r="AS8" s="1187"/>
      <c r="AT8" s="1187"/>
      <c r="AU8" s="1187"/>
      <c r="AV8" s="1187"/>
      <c r="AW8" s="1187"/>
      <c r="AX8" s="1187"/>
      <c r="AY8" s="1187"/>
      <c r="AZ8" s="1187"/>
      <c r="BA8" s="1187"/>
      <c r="BB8" s="1187"/>
      <c r="BC8" s="1187"/>
      <c r="BD8" s="1187"/>
      <c r="BE8" s="1187"/>
      <c r="BF8" s="1187"/>
      <c r="BG8" s="1188"/>
      <c r="BH8" s="603"/>
      <c r="BI8" s="195"/>
      <c r="BJ8" s="195"/>
      <c r="BK8" s="195"/>
      <c r="BL8" s="195"/>
      <c r="BM8" s="195"/>
      <c r="BO8" s="18"/>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row>
    <row r="9" spans="1:135" s="19" customFormat="1" ht="15" customHeight="1" thickBot="1" x14ac:dyDescent="0.3">
      <c r="C9" s="73"/>
      <c r="D9" s="73"/>
      <c r="E9" s="21"/>
      <c r="F9" s="18"/>
      <c r="H9" s="12"/>
      <c r="AK9" s="1189"/>
      <c r="AL9" s="1190"/>
      <c r="AM9" s="1190"/>
      <c r="AN9" s="1190"/>
      <c r="AO9" s="1190"/>
      <c r="AP9" s="1190"/>
      <c r="AQ9" s="1190"/>
      <c r="AR9" s="1190"/>
      <c r="AS9" s="1190"/>
      <c r="AT9" s="1190"/>
      <c r="AU9" s="1190"/>
      <c r="AV9" s="1190"/>
      <c r="AW9" s="1190"/>
      <c r="AX9" s="1190"/>
      <c r="AY9" s="1190"/>
      <c r="AZ9" s="1190"/>
      <c r="BA9" s="1190"/>
      <c r="BB9" s="1190"/>
      <c r="BC9" s="1190"/>
      <c r="BD9" s="1190"/>
      <c r="BE9" s="1190"/>
      <c r="BF9" s="1190"/>
      <c r="BG9" s="1191"/>
      <c r="BH9" s="603"/>
      <c r="BI9" s="195"/>
      <c r="BJ9" s="195"/>
      <c r="BK9" s="195"/>
      <c r="BL9" s="195"/>
      <c r="BM9" s="195"/>
      <c r="BO9" s="18"/>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row>
    <row r="10" spans="1:135" s="19" customFormat="1" ht="15" customHeight="1" x14ac:dyDescent="0.3">
      <c r="C10" s="73"/>
      <c r="D10" s="73"/>
      <c r="E10" s="21"/>
      <c r="F10" s="18"/>
      <c r="J10" s="77" t="str">
        <f>CONCATENATE($B$2,".",$C11,".")</f>
        <v>4.2.1.</v>
      </c>
      <c r="K10" s="757" t="str">
        <f>question_outil_utilisateur</f>
        <v>Quelles données souhaitez-vous utiliser dans les résultats ?</v>
      </c>
      <c r="L10" s="757"/>
      <c r="M10" s="757"/>
      <c r="N10" s="757"/>
      <c r="O10" s="757"/>
      <c r="P10" s="757"/>
      <c r="Q10" s="757"/>
      <c r="R10" s="757"/>
      <c r="S10" s="757"/>
      <c r="T10" s="757"/>
      <c r="U10" s="757"/>
      <c r="V10" s="757"/>
      <c r="W10" s="757"/>
      <c r="X10" s="757"/>
      <c r="Y10" s="757"/>
      <c r="Z10" s="757"/>
      <c r="AA10" s="757"/>
      <c r="BO10" s="18"/>
      <c r="BP10" s="5"/>
      <c r="BQ10" s="5"/>
      <c r="BR10" s="5"/>
      <c r="BS10" s="5"/>
      <c r="BT10" s="5"/>
      <c r="BU10" s="5"/>
      <c r="BW10" s="86"/>
      <c r="BX10" s="86"/>
      <c r="BY10" s="86"/>
      <c r="BZ10" s="86"/>
      <c r="CA10" s="86"/>
      <c r="CB10" s="86"/>
      <c r="CC10" s="86"/>
      <c r="CD10" s="86"/>
      <c r="CE10" s="86"/>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row>
    <row r="11" spans="1:135" s="19" customFormat="1" ht="15" customHeight="1" x14ac:dyDescent="0.25">
      <c r="A11" s="19" t="s">
        <v>274</v>
      </c>
      <c r="C11" s="73" t="str">
        <f>C8&amp;".1"</f>
        <v>2.1</v>
      </c>
      <c r="D11" s="73"/>
      <c r="E11" s="21"/>
      <c r="F11" s="18"/>
      <c r="J11" s="77"/>
      <c r="K11" s="277"/>
      <c r="L11" s="277"/>
      <c r="M11" s="277"/>
      <c r="N11" s="277"/>
      <c r="O11" s="277"/>
      <c r="P11" s="277"/>
      <c r="Q11" s="277"/>
      <c r="R11" s="277"/>
      <c r="S11" s="822"/>
      <c r="T11" s="822"/>
      <c r="U11" s="822"/>
      <c r="V11" s="822"/>
      <c r="W11" s="822"/>
      <c r="X11" s="822"/>
      <c r="Y11" s="822"/>
      <c r="Z11" s="822"/>
      <c r="AA11" s="822"/>
      <c r="AK11" s="298"/>
      <c r="AL11" s="298"/>
      <c r="AM11" s="298"/>
      <c r="AN11" s="298"/>
      <c r="AO11" s="298"/>
      <c r="AP11" s="298"/>
      <c r="AQ11" s="298"/>
      <c r="AR11" s="298"/>
      <c r="AS11" s="298"/>
      <c r="AT11" s="298"/>
      <c r="AU11" s="298"/>
      <c r="AV11" s="298"/>
      <c r="AW11" s="298"/>
      <c r="AX11" s="298"/>
      <c r="AY11" s="298"/>
      <c r="AZ11" s="298"/>
      <c r="BA11" s="298"/>
      <c r="BB11" s="298"/>
      <c r="BC11" s="298"/>
      <c r="BD11" s="298"/>
      <c r="BE11" s="298"/>
      <c r="BF11" s="298"/>
      <c r="BG11" s="298"/>
      <c r="BH11" s="298"/>
      <c r="BI11" s="298"/>
      <c r="BJ11" s="298"/>
      <c r="BK11" s="298"/>
      <c r="BL11" s="298"/>
      <c r="BM11" s="298"/>
      <c r="BO11" s="18"/>
      <c r="BP11" s="5"/>
      <c r="BQ11" s="5"/>
      <c r="BR11" s="5"/>
      <c r="BS11" s="5"/>
      <c r="BT11" s="5"/>
      <c r="BU11" s="5"/>
      <c r="BV11" s="5"/>
      <c r="BW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row>
    <row r="12" spans="1:135" s="19" customFormat="1" ht="28.5" customHeight="1" x14ac:dyDescent="0.25">
      <c r="C12" s="73"/>
      <c r="D12" s="73"/>
      <c r="E12" s="21"/>
      <c r="F12" s="18"/>
      <c r="AB12" s="277"/>
      <c r="AC12" s="277"/>
      <c r="AD12" s="277"/>
      <c r="AE12" s="277"/>
      <c r="AF12" s="277"/>
      <c r="AG12" s="277"/>
      <c r="AH12" s="277"/>
      <c r="AI12" s="277"/>
      <c r="AJ12" s="277"/>
      <c r="AK12" s="298"/>
      <c r="AL12" s="298"/>
      <c r="AM12" s="298"/>
      <c r="AN12" s="298"/>
      <c r="AO12" s="298"/>
      <c r="AP12" s="298"/>
      <c r="AQ12" s="298"/>
      <c r="AR12" s="298"/>
      <c r="AS12" s="298"/>
      <c r="AT12" s="298"/>
      <c r="AU12" s="298"/>
      <c r="AV12" s="298"/>
      <c r="AW12" s="298"/>
      <c r="AX12" s="298"/>
      <c r="AY12" s="298"/>
      <c r="AZ12" s="298"/>
      <c r="BA12" s="298"/>
      <c r="BB12" s="298"/>
      <c r="BC12" s="298"/>
      <c r="BD12" s="298"/>
      <c r="BE12" s="298"/>
      <c r="BF12" s="298"/>
      <c r="BG12" s="298"/>
      <c r="BH12" s="298"/>
      <c r="BI12" s="298"/>
      <c r="BJ12" s="298"/>
      <c r="BK12" s="298"/>
      <c r="BL12" s="298"/>
      <c r="BM12" s="298"/>
      <c r="BO12" s="18"/>
      <c r="BP12" s="5"/>
      <c r="BQ12" s="5"/>
      <c r="BR12" s="5"/>
      <c r="BS12" s="5"/>
      <c r="BT12" s="5"/>
      <c r="BU12" s="5"/>
      <c r="BV12" s="85" t="s">
        <v>311</v>
      </c>
      <c r="BW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row>
    <row r="13" spans="1:135" s="19" customFormat="1" ht="15" customHeight="1" thickBot="1" x14ac:dyDescent="0.3">
      <c r="C13" s="73"/>
      <c r="D13" s="73"/>
      <c r="E13" s="21"/>
      <c r="F13" s="18"/>
      <c r="Y13" s="21"/>
      <c r="Z13" s="21"/>
      <c r="BO13" s="18"/>
      <c r="BP13" s="5"/>
      <c r="BQ13" s="5"/>
      <c r="BR13" s="5"/>
      <c r="BS13" s="5"/>
      <c r="BT13" s="5"/>
      <c r="BU13" s="5"/>
      <c r="BV13" s="5"/>
      <c r="BW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row>
    <row r="14" spans="1:135" s="19" customFormat="1" ht="15" customHeight="1" x14ac:dyDescent="0.25">
      <c r="C14" s="73" t="str">
        <f>C8&amp;".2"</f>
        <v>2.2</v>
      </c>
      <c r="D14" s="73" t="str">
        <f>C8&amp;".3"</f>
        <v>2.3</v>
      </c>
      <c r="E14" s="21"/>
      <c r="F14" s="18"/>
      <c r="J14" s="77" t="str">
        <f>CONCATENATE($B$2,".",$C14,".")</f>
        <v>4.2.2.</v>
      </c>
      <c r="K14" s="733" t="str">
        <f>txt_outil&amp;IF(crd_utiliser_donnees=menu_utilisateur,donnees_infos,donnees_calculs)</f>
        <v>Données suggérées par l'outil - UTILISÉES DANS LES RÉSULTATS</v>
      </c>
      <c r="L14" s="733"/>
      <c r="M14" s="733"/>
      <c r="N14" s="733"/>
      <c r="O14" s="733"/>
      <c r="P14" s="733"/>
      <c r="Q14" s="733"/>
      <c r="R14" s="733"/>
      <c r="S14" s="733"/>
      <c r="T14" s="733"/>
      <c r="U14" s="733"/>
      <c r="V14" s="733"/>
      <c r="W14" s="733"/>
      <c r="X14" s="733"/>
      <c r="Y14" s="733"/>
      <c r="Z14" s="733"/>
      <c r="AA14" s="733"/>
      <c r="AB14" s="733"/>
      <c r="AC14" s="733"/>
      <c r="AD14" s="733"/>
      <c r="AE14" s="22"/>
      <c r="AF14" s="22"/>
      <c r="AG14" s="22"/>
      <c r="AH14" s="22"/>
      <c r="AI14" s="22"/>
      <c r="AN14" s="77" t="str">
        <f>CONCATENATE($B$2,".",$D14,".")</f>
        <v>4.2.3.</v>
      </c>
      <c r="AO14" s="733" t="str">
        <f>txt_utilisateur&amp;IF(crd_utiliser_donnees=menu_utilisateur,donnees_calculs,donnees_infos)</f>
        <v xml:space="preserve">Données saisies par l'utilisateur (fournies à titre indicatif seulement) </v>
      </c>
      <c r="AP14" s="733"/>
      <c r="AQ14" s="733"/>
      <c r="AR14" s="733"/>
      <c r="AS14" s="733"/>
      <c r="AT14" s="733"/>
      <c r="AU14" s="733"/>
      <c r="AV14" s="733"/>
      <c r="AW14" s="733"/>
      <c r="AX14" s="733"/>
      <c r="AY14" s="733"/>
      <c r="AZ14" s="733"/>
      <c r="BA14" s="733"/>
      <c r="BB14" s="733"/>
      <c r="BC14" s="733"/>
      <c r="BD14" s="733"/>
      <c r="BE14" s="733"/>
      <c r="BF14" s="733"/>
      <c r="BG14" s="733"/>
      <c r="BH14" s="733"/>
      <c r="BI14" s="733"/>
      <c r="BJ14" s="733"/>
      <c r="BK14" s="733"/>
      <c r="BL14" s="733"/>
      <c r="BM14" s="733"/>
      <c r="BO14" s="18"/>
      <c r="BP14" s="5"/>
      <c r="BQ14" s="5"/>
      <c r="BR14" s="56"/>
      <c r="BS14" s="23"/>
      <c r="BT14" s="23"/>
      <c r="BU14" s="23"/>
      <c r="BV14" s="23"/>
      <c r="BW14" s="23"/>
      <c r="BX14" s="23"/>
      <c r="BY14" s="23"/>
      <c r="BZ14" s="23"/>
      <c r="CA14" s="23"/>
      <c r="CB14" s="23"/>
      <c r="CC14" s="23"/>
      <c r="CD14" s="23"/>
      <c r="CE14" s="23"/>
      <c r="CF14" s="23"/>
      <c r="CG14" s="23"/>
      <c r="CH14" s="23"/>
      <c r="CI14" s="23"/>
      <c r="CJ14" s="23"/>
      <c r="CK14" s="23"/>
      <c r="CL14" s="23"/>
      <c r="CM14" s="628"/>
      <c r="CN14" s="628"/>
      <c r="CO14" s="628"/>
      <c r="CP14" s="628"/>
      <c r="CQ14" s="628"/>
      <c r="CR14" s="24"/>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row>
    <row r="15" spans="1:135" s="19" customFormat="1" ht="5.25" customHeight="1" x14ac:dyDescent="0.75">
      <c r="C15" s="73"/>
      <c r="D15" s="73"/>
      <c r="E15" s="21"/>
      <c r="F15" s="18"/>
      <c r="J15" s="77"/>
      <c r="K15" s="22"/>
      <c r="X15" s="55"/>
      <c r="Y15" s="55"/>
      <c r="Z15" s="55"/>
      <c r="AN15" s="77"/>
      <c r="AO15" s="22"/>
      <c r="AS15" s="61"/>
      <c r="AU15" s="61"/>
      <c r="BI15" s="61"/>
      <c r="BO15" s="18"/>
      <c r="BP15" s="5"/>
      <c r="BQ15" s="5"/>
      <c r="BR15" s="25"/>
      <c r="CR15" s="20"/>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row>
    <row r="16" spans="1:135" s="19" customFormat="1" ht="47.25" customHeight="1" x14ac:dyDescent="0.25">
      <c r="A16" s="5"/>
      <c r="B16" s="5"/>
      <c r="C16" s="72"/>
      <c r="D16" s="72"/>
      <c r="E16" s="36"/>
      <c r="F16" s="18"/>
      <c r="G16" s="5"/>
      <c r="H16" s="5"/>
      <c r="I16" s="26"/>
      <c r="J16" s="5"/>
      <c r="K16" s="5"/>
      <c r="L16" s="5"/>
      <c r="M16" s="5"/>
      <c r="N16" s="5"/>
      <c r="O16" s="5"/>
      <c r="P16" s="5"/>
      <c r="Q16" s="1195" t="s">
        <v>610</v>
      </c>
      <c r="R16" s="1196"/>
      <c r="S16" s="1196"/>
      <c r="T16" s="1196"/>
      <c r="U16" s="5"/>
      <c r="V16" s="1195" t="s">
        <v>611</v>
      </c>
      <c r="W16" s="1196"/>
      <c r="X16" s="1196"/>
      <c r="Y16" s="1196"/>
      <c r="Z16" s="594"/>
      <c r="AA16" s="1192" t="s">
        <v>792</v>
      </c>
      <c r="AB16" s="1192"/>
      <c r="AC16" s="1192"/>
      <c r="AD16" s="1192"/>
      <c r="AE16" s="594"/>
      <c r="AF16" s="1195" t="s">
        <v>612</v>
      </c>
      <c r="AG16" s="1195"/>
      <c r="AH16" s="1195"/>
      <c r="AI16" s="1195"/>
      <c r="AJ16" s="5"/>
      <c r="AK16" s="5"/>
      <c r="AL16" s="5"/>
      <c r="AM16" s="26"/>
      <c r="AN16" s="5"/>
      <c r="AO16" s="5"/>
      <c r="AP16" s="5"/>
      <c r="AQ16" s="5"/>
      <c r="AR16" s="5"/>
      <c r="AS16" s="5"/>
      <c r="AT16" s="5"/>
      <c r="AU16" s="1195" t="str">
        <f>Q16</f>
        <v>Récupéré (t)</v>
      </c>
      <c r="AV16" s="1196"/>
      <c r="AW16" s="1196"/>
      <c r="AX16" s="1196"/>
      <c r="AY16" s="4"/>
      <c r="AZ16" s="1195" t="str">
        <f>V16</f>
        <v>Éliminé (t)</v>
      </c>
      <c r="BA16" s="1196"/>
      <c r="BB16" s="1196"/>
      <c r="BC16" s="1196"/>
      <c r="BD16" s="594"/>
      <c r="BE16" s="1192" t="str">
        <f>AA16</f>
        <v>Usages en lieu d'enfouissement (t)</v>
      </c>
      <c r="BF16" s="1192"/>
      <c r="BG16" s="1192"/>
      <c r="BH16" s="1192"/>
      <c r="BI16" s="593"/>
      <c r="BJ16" s="1196" t="str">
        <f>AF16</f>
        <v>Généré (t)</v>
      </c>
      <c r="BK16" s="1196"/>
      <c r="BL16" s="1196"/>
      <c r="BM16" s="1196"/>
      <c r="BN16" s="4"/>
      <c r="BO16" s="18"/>
      <c r="BP16" s="5"/>
      <c r="BQ16" s="5"/>
      <c r="BR16" s="57"/>
      <c r="BS16" s="26"/>
      <c r="BT16" s="5"/>
      <c r="BU16" s="5"/>
      <c r="BV16" s="5"/>
      <c r="BW16" s="5"/>
      <c r="BX16" s="5"/>
      <c r="BY16" s="5"/>
      <c r="BZ16" s="5"/>
      <c r="CA16" s="5"/>
      <c r="CB16" s="5"/>
      <c r="CC16" s="5"/>
      <c r="CD16" s="715" t="str">
        <f>Q16</f>
        <v>Récupéré (t)</v>
      </c>
      <c r="CE16" s="715"/>
      <c r="CF16" s="715"/>
      <c r="CG16" s="715"/>
      <c r="CH16" s="5"/>
      <c r="CI16" s="715" t="str">
        <f>V16</f>
        <v>Éliminé (t)</v>
      </c>
      <c r="CJ16" s="715"/>
      <c r="CK16" s="715"/>
      <c r="CL16" s="715"/>
      <c r="CM16" s="4"/>
      <c r="CN16" s="1197" t="str">
        <f>AA16</f>
        <v>Usages en lieu d'enfouissement (t)</v>
      </c>
      <c r="CO16" s="1197"/>
      <c r="CP16" s="1197"/>
      <c r="CQ16" s="1197"/>
      <c r="CR16" s="27"/>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row>
    <row r="17" spans="1:135" s="19" customFormat="1" ht="15" customHeight="1" x14ac:dyDescent="0.25">
      <c r="A17" s="5" t="s">
        <v>85</v>
      </c>
      <c r="B17" s="5"/>
      <c r="C17" s="72"/>
      <c r="D17" s="72"/>
      <c r="E17" s="36"/>
      <c r="F17" s="18"/>
      <c r="G17" s="5"/>
      <c r="H17" s="5"/>
      <c r="I17" s="731" t="s">
        <v>275</v>
      </c>
      <c r="J17" s="731"/>
      <c r="K17" s="731"/>
      <c r="L17" s="731"/>
      <c r="M17" s="731"/>
      <c r="N17" s="731"/>
      <c r="O17" s="731"/>
      <c r="P17" s="731"/>
      <c r="Q17" s="702" t="str">
        <f>IF(crd_permis="",N.D.,Q25-Q18)</f>
        <v>N.D.</v>
      </c>
      <c r="R17" s="702"/>
      <c r="S17" s="702"/>
      <c r="T17" s="702"/>
      <c r="U17" s="62"/>
      <c r="V17" s="702" t="str">
        <f>IF(crd_permis="",N.D.,V25-V18-V23)</f>
        <v>N.D.</v>
      </c>
      <c r="W17" s="702"/>
      <c r="X17" s="702"/>
      <c r="Y17" s="702"/>
      <c r="Z17" s="595"/>
      <c r="AA17" s="702" t="s">
        <v>313</v>
      </c>
      <c r="AB17" s="702"/>
      <c r="AC17" s="702"/>
      <c r="AD17" s="702"/>
      <c r="AE17" s="595"/>
      <c r="AF17" s="702" t="str">
        <f t="shared" ref="AF17:AF22" si="0">IF(crd_permis="",N.D.,SUM(Q17,V17))</f>
        <v>N.D.</v>
      </c>
      <c r="AG17" s="702"/>
      <c r="AH17" s="702"/>
      <c r="AI17" s="702"/>
      <c r="AJ17" s="5"/>
      <c r="AK17" s="5"/>
      <c r="AL17" s="5"/>
      <c r="AM17" s="731" t="str">
        <f t="shared" ref="AM17:AM22" si="1">I17</f>
        <v>Agrégats</v>
      </c>
      <c r="AN17" s="731"/>
      <c r="AO17" s="731"/>
      <c r="AP17" s="731"/>
      <c r="AQ17" s="731"/>
      <c r="AR17" s="731"/>
      <c r="AS17" s="731"/>
      <c r="AT17" s="731"/>
      <c r="AU17" s="1177"/>
      <c r="AV17" s="722"/>
      <c r="AW17" s="722"/>
      <c r="AX17" s="722"/>
      <c r="AY17" s="74"/>
      <c r="AZ17" s="722"/>
      <c r="BA17" s="722"/>
      <c r="BB17" s="722"/>
      <c r="BC17" s="722"/>
      <c r="BD17" s="598"/>
      <c r="BE17" s="722"/>
      <c r="BF17" s="722"/>
      <c r="BG17" s="722"/>
      <c r="BH17" s="722"/>
      <c r="BI17" s="65"/>
      <c r="BJ17" s="755" t="str">
        <f>IF(AND(AU17="",AZ17="",BE17),"",SUM(AU17,AZ17,BE17))</f>
        <v/>
      </c>
      <c r="BK17" s="755"/>
      <c r="BL17" s="755"/>
      <c r="BM17" s="755"/>
      <c r="BN17" s="5"/>
      <c r="BO17" s="18"/>
      <c r="BP17" s="5"/>
      <c r="BQ17" s="5"/>
      <c r="BR17" s="57"/>
      <c r="BS17" s="29" t="str">
        <f>I17</f>
        <v>Agrégats</v>
      </c>
      <c r="BT17" s="28"/>
      <c r="BU17" s="28"/>
      <c r="BV17" s="28"/>
      <c r="BW17" s="28"/>
      <c r="BX17" s="28"/>
      <c r="BY17" s="28"/>
      <c r="BZ17" s="28"/>
      <c r="CA17" s="28"/>
      <c r="CB17" s="28"/>
      <c r="CC17" s="28"/>
      <c r="CD17" s="1176" t="str">
        <f>IF(crd_utiliser_donnees=menu_utilisateur,AU17,Q17)</f>
        <v>N.D.</v>
      </c>
      <c r="CE17" s="1176"/>
      <c r="CF17" s="1176"/>
      <c r="CG17" s="1176"/>
      <c r="CH17" s="90"/>
      <c r="CI17" s="1198" t="str">
        <f>IF(crd_utiliser_donnees=menu_utilisateur,AZ17,V17)</f>
        <v>N.D.</v>
      </c>
      <c r="CJ17" s="1198"/>
      <c r="CK17" s="1198"/>
      <c r="CL17" s="1198"/>
      <c r="CM17" s="629"/>
      <c r="CN17" s="1198" t="str">
        <f>IF(crd_utiliser_donnees=menu_utilisateur,BE17,AA17)</f>
        <v>N.A.</v>
      </c>
      <c r="CO17" s="1198"/>
      <c r="CP17" s="1198"/>
      <c r="CQ17" s="1198"/>
      <c r="CR17" s="27"/>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row>
    <row r="18" spans="1:135" s="19" customFormat="1" ht="15" customHeight="1" x14ac:dyDescent="0.25">
      <c r="A18" s="5" t="s">
        <v>86</v>
      </c>
      <c r="B18" s="5"/>
      <c r="C18" s="72"/>
      <c r="D18" s="72"/>
      <c r="E18" s="36"/>
      <c r="F18" s="18"/>
      <c r="G18" s="5"/>
      <c r="H18" s="5"/>
      <c r="I18" s="778" t="s">
        <v>277</v>
      </c>
      <c r="J18" s="778"/>
      <c r="K18" s="778"/>
      <c r="L18" s="778"/>
      <c r="M18" s="778"/>
      <c r="N18" s="778"/>
      <c r="O18" s="778"/>
      <c r="P18" s="778"/>
      <c r="Q18" s="702" t="str">
        <f>IF(crd_permis="",N.D.,SUM(Q19:T22))</f>
        <v>N.D.</v>
      </c>
      <c r="R18" s="702"/>
      <c r="S18" s="702"/>
      <c r="T18" s="702"/>
      <c r="U18" s="62"/>
      <c r="V18" s="702" t="str">
        <f>IF(crd_permis="",N.D.,SUM(V19:Y22))</f>
        <v>N.D.</v>
      </c>
      <c r="W18" s="702"/>
      <c r="X18" s="702"/>
      <c r="Y18" s="702"/>
      <c r="Z18" s="595"/>
      <c r="AA18" s="702" t="s">
        <v>313</v>
      </c>
      <c r="AB18" s="702"/>
      <c r="AC18" s="702"/>
      <c r="AD18" s="702"/>
      <c r="AE18" s="601"/>
      <c r="AF18" s="702" t="str">
        <f t="shared" si="0"/>
        <v>N.D.</v>
      </c>
      <c r="AG18" s="702"/>
      <c r="AH18" s="702"/>
      <c r="AI18" s="702"/>
      <c r="AJ18" s="5"/>
      <c r="AK18" s="5"/>
      <c r="AL18" s="5"/>
      <c r="AM18" s="778" t="str">
        <f t="shared" si="1"/>
        <v xml:space="preserve">Non-agrégats : </v>
      </c>
      <c r="AN18" s="778"/>
      <c r="AO18" s="778"/>
      <c r="AP18" s="778"/>
      <c r="AQ18" s="778"/>
      <c r="AR18" s="778"/>
      <c r="AS18" s="778"/>
      <c r="AT18" s="778"/>
      <c r="AU18" s="1175" t="str">
        <f>IF(AND(AU19="",AU20="",AU21="",AU22=""),"",SUM(AU19:AU22))</f>
        <v/>
      </c>
      <c r="AV18" s="1175"/>
      <c r="AW18" s="1175"/>
      <c r="AX18" s="1175"/>
      <c r="AY18" s="75"/>
      <c r="AZ18" s="1175" t="str">
        <f>IF(AND(AZ19="",AZ20="",AZ21="",AZ22=""),"",SUM(AZ19:AZ22))</f>
        <v/>
      </c>
      <c r="BA18" s="1175"/>
      <c r="BB18" s="1175"/>
      <c r="BC18" s="1175"/>
      <c r="BD18" s="634"/>
      <c r="BE18" s="702" t="str">
        <f>IF(AND(BE19="",BE20="",BE21="",BE22=""),"",SUM(BE19:BE22))</f>
        <v/>
      </c>
      <c r="BF18" s="702"/>
      <c r="BG18" s="702"/>
      <c r="BH18" s="702"/>
      <c r="BI18" s="66"/>
      <c r="BJ18" s="755" t="str">
        <f>IF(AND(AU18="",AZ18="",BE18),"",SUM(AU18,AZ18,BE18))</f>
        <v/>
      </c>
      <c r="BK18" s="755"/>
      <c r="BL18" s="755"/>
      <c r="BM18" s="755"/>
      <c r="BN18" s="5"/>
      <c r="BO18" s="18"/>
      <c r="BP18" s="5"/>
      <c r="BQ18" s="5"/>
      <c r="BR18" s="57"/>
      <c r="BS18" s="29" t="str">
        <f>I18</f>
        <v xml:space="preserve">Non-agrégats : </v>
      </c>
      <c r="BT18" s="5"/>
      <c r="BU18" s="5"/>
      <c r="BV18" s="5"/>
      <c r="BW18" s="5"/>
      <c r="BX18" s="5"/>
      <c r="BY18" s="5"/>
      <c r="BZ18" s="5"/>
      <c r="CA18" s="5"/>
      <c r="CB18" s="5"/>
      <c r="CC18" s="5"/>
      <c r="CD18" s="1178">
        <f>SUM(CD19:CG22)</f>
        <v>0</v>
      </c>
      <c r="CE18" s="1178"/>
      <c r="CF18" s="1178"/>
      <c r="CG18" s="1178"/>
      <c r="CH18" s="91"/>
      <c r="CI18" s="1174">
        <f>SUM(CI19:CL22)</f>
        <v>0</v>
      </c>
      <c r="CJ18" s="1174"/>
      <c r="CK18" s="1174"/>
      <c r="CL18" s="1174"/>
      <c r="CM18" s="605"/>
      <c r="CN18" s="1174">
        <f>SUM(CN19:CN22)</f>
        <v>0</v>
      </c>
      <c r="CO18" s="1174"/>
      <c r="CP18" s="1174"/>
      <c r="CQ18" s="1174"/>
      <c r="CR18" s="27"/>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row>
    <row r="19" spans="1:135" s="19" customFormat="1" ht="15" customHeight="1" x14ac:dyDescent="0.25">
      <c r="A19" s="5" t="s">
        <v>87</v>
      </c>
      <c r="B19" s="5"/>
      <c r="C19" s="72"/>
      <c r="D19" s="72"/>
      <c r="E19" s="36"/>
      <c r="F19" s="18"/>
      <c r="G19" s="5"/>
      <c r="H19" s="5"/>
      <c r="I19" s="16" t="str">
        <f>puce1</f>
        <v>Ä</v>
      </c>
      <c r="J19" s="1171" t="s">
        <v>278</v>
      </c>
      <c r="K19" s="1171"/>
      <c r="L19" s="1171"/>
      <c r="M19" s="1171"/>
      <c r="N19" s="1171"/>
      <c r="O19" s="1171"/>
      <c r="P19" s="1171"/>
      <c r="Q19" s="702" t="str">
        <f>IF(crd_permis="",N.D.,crd_permis*Paramètres!F135/1000)</f>
        <v>N.D.</v>
      </c>
      <c r="R19" s="702"/>
      <c r="S19" s="702"/>
      <c r="T19" s="702"/>
      <c r="U19" s="62"/>
      <c r="V19" s="702" t="str">
        <f>IF(crd_permis="",N.D.,crd_permis*Paramètres!F136/1000)</f>
        <v>N.D.</v>
      </c>
      <c r="W19" s="702"/>
      <c r="X19" s="702"/>
      <c r="Y19" s="702"/>
      <c r="Z19" s="595"/>
      <c r="AA19" s="702" t="s">
        <v>313</v>
      </c>
      <c r="AB19" s="702"/>
      <c r="AC19" s="702"/>
      <c r="AD19" s="702"/>
      <c r="AE19" s="601"/>
      <c r="AF19" s="702" t="str">
        <f t="shared" si="0"/>
        <v>N.D.</v>
      </c>
      <c r="AG19" s="702"/>
      <c r="AH19" s="702"/>
      <c r="AI19" s="702"/>
      <c r="AJ19" s="5"/>
      <c r="AK19" s="5"/>
      <c r="AL19" s="5"/>
      <c r="AM19" s="16" t="str">
        <f t="shared" si="1"/>
        <v>Ä</v>
      </c>
      <c r="AN19" s="1171" t="str">
        <f>J19</f>
        <v>Bois de construction</v>
      </c>
      <c r="AO19" s="1171"/>
      <c r="AP19" s="1171"/>
      <c r="AQ19" s="1171"/>
      <c r="AR19" s="1171"/>
      <c r="AS19" s="1171"/>
      <c r="AT19" s="1171"/>
      <c r="AU19" s="1177"/>
      <c r="AV19" s="722"/>
      <c r="AW19" s="722"/>
      <c r="AX19" s="722"/>
      <c r="AY19" s="75"/>
      <c r="AZ19" s="722"/>
      <c r="BA19" s="722"/>
      <c r="BB19" s="722"/>
      <c r="BC19" s="722"/>
      <c r="BD19" s="598"/>
      <c r="BE19" s="722"/>
      <c r="BF19" s="722"/>
      <c r="BG19" s="722"/>
      <c r="BH19" s="722"/>
      <c r="BI19" s="66"/>
      <c r="BJ19" s="755" t="str">
        <f t="shared" ref="BJ19:BJ22" si="2">IF(AND(AU19="",AZ19="",BE19),"",SUM(AU19,AZ19,BE19))</f>
        <v/>
      </c>
      <c r="BK19" s="755"/>
      <c r="BL19" s="755"/>
      <c r="BM19" s="755"/>
      <c r="BN19" s="5"/>
      <c r="BO19" s="18"/>
      <c r="BP19" s="5"/>
      <c r="BQ19" s="5"/>
      <c r="BR19" s="57"/>
      <c r="BS19" s="33"/>
      <c r="BT19" s="33"/>
      <c r="BU19" s="32" t="str">
        <f>J19</f>
        <v>Bois de construction</v>
      </c>
      <c r="BV19" s="31"/>
      <c r="BW19" s="31"/>
      <c r="BX19" s="31"/>
      <c r="BY19" s="31"/>
      <c r="BZ19" s="31"/>
      <c r="CA19" s="31"/>
      <c r="CB19" s="31"/>
      <c r="CC19" s="31"/>
      <c r="CD19" s="1176" t="str">
        <f>IF(crd_utiliser_donnees=menu_utilisateur,AU19,Q19)</f>
        <v>N.D.</v>
      </c>
      <c r="CE19" s="1176"/>
      <c r="CF19" s="1176"/>
      <c r="CG19" s="1176"/>
      <c r="CH19" s="92"/>
      <c r="CI19" s="1174" t="str">
        <f>IF(crd_utiliser_donnees=menu_utilisateur,AZ19,V19)</f>
        <v>N.D.</v>
      </c>
      <c r="CJ19" s="1174"/>
      <c r="CK19" s="1174"/>
      <c r="CL19" s="1174"/>
      <c r="CM19" s="604"/>
      <c r="CN19" s="1198" t="str">
        <f>IF(crd_utiliser_donnees=menu_utilisateur,BE19,AA19)</f>
        <v>N.A.</v>
      </c>
      <c r="CO19" s="1198"/>
      <c r="CP19" s="1198"/>
      <c r="CQ19" s="1198"/>
      <c r="CR19" s="27"/>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row>
    <row r="20" spans="1:135" ht="15" customHeight="1" x14ac:dyDescent="0.25">
      <c r="A20" s="5" t="s">
        <v>126</v>
      </c>
      <c r="F20" s="18"/>
      <c r="I20" s="16" t="str">
        <f>puce1</f>
        <v>Ä</v>
      </c>
      <c r="J20" s="1179" t="s">
        <v>124</v>
      </c>
      <c r="K20" s="1179"/>
      <c r="L20" s="1179"/>
      <c r="M20" s="1179"/>
      <c r="N20" s="1179"/>
      <c r="O20" s="1179"/>
      <c r="P20" s="1179"/>
      <c r="Q20" s="702" t="str">
        <f>IF(crd_permis="",N.D.,crd_permis*Paramètres!F137/1000)</f>
        <v>N.D.</v>
      </c>
      <c r="R20" s="702"/>
      <c r="S20" s="702"/>
      <c r="T20" s="702"/>
      <c r="U20" s="62"/>
      <c r="V20" s="702" t="str">
        <f>IF(crd_permis="",N.D.,crd_permis*Paramètres!F138/1000)</f>
        <v>N.D.</v>
      </c>
      <c r="W20" s="702"/>
      <c r="X20" s="702"/>
      <c r="Y20" s="702"/>
      <c r="Z20" s="595"/>
      <c r="AA20" s="702" t="s">
        <v>313</v>
      </c>
      <c r="AB20" s="702"/>
      <c r="AC20" s="702"/>
      <c r="AD20" s="702"/>
      <c r="AE20" s="601"/>
      <c r="AF20" s="702" t="str">
        <f t="shared" si="0"/>
        <v>N.D.</v>
      </c>
      <c r="AG20" s="702"/>
      <c r="AH20" s="702"/>
      <c r="AI20" s="702"/>
      <c r="AM20" s="16" t="str">
        <f t="shared" si="1"/>
        <v>Ä</v>
      </c>
      <c r="AN20" s="1171" t="str">
        <f>J20</f>
        <v>Gypse</v>
      </c>
      <c r="AO20" s="1171"/>
      <c r="AP20" s="1171"/>
      <c r="AQ20" s="1171"/>
      <c r="AR20" s="1171"/>
      <c r="AS20" s="1171"/>
      <c r="AT20" s="1171"/>
      <c r="AU20" s="1177"/>
      <c r="AV20" s="722"/>
      <c r="AW20" s="722"/>
      <c r="AX20" s="722"/>
      <c r="AY20" s="75"/>
      <c r="AZ20" s="722"/>
      <c r="BA20" s="722"/>
      <c r="BB20" s="722"/>
      <c r="BC20" s="722"/>
      <c r="BD20" s="598"/>
      <c r="BE20" s="722"/>
      <c r="BF20" s="722"/>
      <c r="BG20" s="722"/>
      <c r="BH20" s="722"/>
      <c r="BI20" s="66"/>
      <c r="BJ20" s="755" t="str">
        <f t="shared" si="2"/>
        <v/>
      </c>
      <c r="BK20" s="755"/>
      <c r="BL20" s="755"/>
      <c r="BM20" s="755"/>
      <c r="BO20" s="18"/>
      <c r="BR20" s="57"/>
      <c r="BU20" s="32" t="str">
        <f>J20</f>
        <v>Gypse</v>
      </c>
      <c r="BV20" s="28"/>
      <c r="BW20" s="28"/>
      <c r="BX20" s="28"/>
      <c r="BY20" s="28"/>
      <c r="BZ20" s="28"/>
      <c r="CA20" s="28"/>
      <c r="CB20" s="28"/>
      <c r="CC20" s="28"/>
      <c r="CD20" s="1174" t="str">
        <f>IF(crd_utiliser_donnees=menu_utilisateur,AU20,Q20)</f>
        <v>N.D.</v>
      </c>
      <c r="CE20" s="1174"/>
      <c r="CF20" s="1174"/>
      <c r="CG20" s="1174"/>
      <c r="CH20" s="90"/>
      <c r="CI20" s="1174" t="str">
        <f>IF(crd_utiliser_donnees=menu_utilisateur,AZ20,V20)</f>
        <v>N.D.</v>
      </c>
      <c r="CJ20" s="1174"/>
      <c r="CK20" s="1174"/>
      <c r="CL20" s="1174"/>
      <c r="CM20" s="604"/>
      <c r="CN20" s="1174" t="str">
        <f>IF(crd_utiliser_donnees=menu_utilisateur,BE20,AA20)</f>
        <v>N.A.</v>
      </c>
      <c r="CO20" s="1174"/>
      <c r="CP20" s="1174"/>
      <c r="CQ20" s="1174"/>
      <c r="CR20" s="27"/>
    </row>
    <row r="21" spans="1:135" ht="15" customHeight="1" x14ac:dyDescent="0.25">
      <c r="A21" s="5" t="s">
        <v>127</v>
      </c>
      <c r="F21" s="18"/>
      <c r="I21" s="16" t="str">
        <f>puce1</f>
        <v>Ä</v>
      </c>
      <c r="J21" s="1171" t="s">
        <v>279</v>
      </c>
      <c r="K21" s="1171"/>
      <c r="L21" s="1171"/>
      <c r="M21" s="1171"/>
      <c r="N21" s="1171"/>
      <c r="O21" s="1171"/>
      <c r="P21" s="1171"/>
      <c r="Q21" s="702" t="str">
        <f>IF(crd_permis="",N.D.,crd_permis*Paramètres!F139/1000)</f>
        <v>N.D.</v>
      </c>
      <c r="R21" s="702"/>
      <c r="S21" s="702"/>
      <c r="T21" s="702"/>
      <c r="U21" s="62"/>
      <c r="V21" s="702" t="str">
        <f>IF(crd_permis="",N.D.,crd_permis*Paramètres!F140/1000)</f>
        <v>N.D.</v>
      </c>
      <c r="W21" s="702"/>
      <c r="X21" s="702"/>
      <c r="Y21" s="702"/>
      <c r="Z21" s="595"/>
      <c r="AA21" s="702" t="s">
        <v>313</v>
      </c>
      <c r="AB21" s="702"/>
      <c r="AC21" s="702"/>
      <c r="AD21" s="702"/>
      <c r="AE21" s="601"/>
      <c r="AF21" s="702" t="str">
        <f t="shared" si="0"/>
        <v>N.D.</v>
      </c>
      <c r="AG21" s="702"/>
      <c r="AH21" s="702"/>
      <c r="AI21" s="702"/>
      <c r="AM21" s="16" t="str">
        <f t="shared" si="1"/>
        <v>Ä</v>
      </c>
      <c r="AN21" s="1171" t="str">
        <f>J21</f>
        <v>Bardeaux d'asphalte</v>
      </c>
      <c r="AO21" s="1171"/>
      <c r="AP21" s="1171"/>
      <c r="AQ21" s="1171"/>
      <c r="AR21" s="1171"/>
      <c r="AS21" s="1171"/>
      <c r="AT21" s="1171"/>
      <c r="AU21" s="1177"/>
      <c r="AV21" s="722"/>
      <c r="AW21" s="722"/>
      <c r="AX21" s="722"/>
      <c r="AY21" s="75"/>
      <c r="AZ21" s="722"/>
      <c r="BA21" s="722"/>
      <c r="BB21" s="722"/>
      <c r="BC21" s="722"/>
      <c r="BD21" s="598"/>
      <c r="BE21" s="722"/>
      <c r="BF21" s="722"/>
      <c r="BG21" s="722"/>
      <c r="BH21" s="722"/>
      <c r="BI21" s="66"/>
      <c r="BJ21" s="755" t="str">
        <f t="shared" si="2"/>
        <v/>
      </c>
      <c r="BK21" s="755"/>
      <c r="BL21" s="755"/>
      <c r="BM21" s="755"/>
      <c r="BO21" s="18"/>
      <c r="BR21" s="57"/>
      <c r="BU21" s="32" t="str">
        <f>J21</f>
        <v>Bardeaux d'asphalte</v>
      </c>
      <c r="BV21" s="28"/>
      <c r="BW21" s="28"/>
      <c r="BX21" s="28"/>
      <c r="BY21" s="28"/>
      <c r="BZ21" s="28"/>
      <c r="CA21" s="28"/>
      <c r="CB21" s="28"/>
      <c r="CC21" s="28"/>
      <c r="CD21" s="1174" t="str">
        <f>IF(crd_utiliser_donnees=menu_utilisateur,AU21,Q21)</f>
        <v>N.D.</v>
      </c>
      <c r="CE21" s="1174"/>
      <c r="CF21" s="1174"/>
      <c r="CG21" s="1174"/>
      <c r="CH21" s="90"/>
      <c r="CI21" s="1174" t="str">
        <f>IF(crd_utiliser_donnees=menu_utilisateur,AZ21,V21)</f>
        <v>N.D.</v>
      </c>
      <c r="CJ21" s="1174"/>
      <c r="CK21" s="1174"/>
      <c r="CL21" s="1174"/>
      <c r="CM21" s="604"/>
      <c r="CN21" s="1198" t="str">
        <f>IF(crd_utiliser_donnees=menu_utilisateur,BE21,AA21)</f>
        <v>N.A.</v>
      </c>
      <c r="CO21" s="1198"/>
      <c r="CP21" s="1198"/>
      <c r="CQ21" s="1198"/>
      <c r="CR21" s="27"/>
    </row>
    <row r="22" spans="1:135" ht="15" customHeight="1" x14ac:dyDescent="0.25">
      <c r="A22" s="5" t="s">
        <v>88</v>
      </c>
      <c r="F22" s="18"/>
      <c r="I22" s="16" t="str">
        <f>puce1</f>
        <v>Ä</v>
      </c>
      <c r="J22" s="1171" t="s">
        <v>280</v>
      </c>
      <c r="K22" s="1171"/>
      <c r="L22" s="1171"/>
      <c r="M22" s="1171"/>
      <c r="N22" s="1171"/>
      <c r="O22" s="1171"/>
      <c r="P22" s="1171"/>
      <c r="Q22" s="702" t="str">
        <f>IF(crd_permis="",N.D.,crd_permis*Paramètres!F141/1000)</f>
        <v>N.D.</v>
      </c>
      <c r="R22" s="702"/>
      <c r="S22" s="702"/>
      <c r="T22" s="702"/>
      <c r="U22" s="62"/>
      <c r="V22" s="702" t="str">
        <f>IF(crd_permis="",N.D.,crd_permis*Paramètres!F142/1000)</f>
        <v>N.D.</v>
      </c>
      <c r="W22" s="702"/>
      <c r="X22" s="702"/>
      <c r="Y22" s="702"/>
      <c r="Z22" s="595"/>
      <c r="AA22" s="702" t="s">
        <v>313</v>
      </c>
      <c r="AB22" s="702"/>
      <c r="AC22" s="702"/>
      <c r="AD22" s="702"/>
      <c r="AE22" s="601"/>
      <c r="AF22" s="702" t="str">
        <f t="shared" si="0"/>
        <v>N.D.</v>
      </c>
      <c r="AG22" s="702"/>
      <c r="AH22" s="702"/>
      <c r="AI22" s="702"/>
      <c r="AM22" s="16" t="str">
        <f t="shared" si="1"/>
        <v>Ä</v>
      </c>
      <c r="AN22" s="1171" t="str">
        <f>J22</f>
        <v>Autres</v>
      </c>
      <c r="AO22" s="1171"/>
      <c r="AP22" s="1171"/>
      <c r="AQ22" s="1171"/>
      <c r="AR22" s="1171"/>
      <c r="AS22" s="1171"/>
      <c r="AT22" s="1171"/>
      <c r="AU22" s="722"/>
      <c r="AV22" s="722"/>
      <c r="AW22" s="722"/>
      <c r="AX22" s="722"/>
      <c r="AY22" s="75"/>
      <c r="AZ22" s="722"/>
      <c r="BA22" s="722"/>
      <c r="BB22" s="722"/>
      <c r="BC22" s="722"/>
      <c r="BD22" s="598"/>
      <c r="BE22" s="722"/>
      <c r="BF22" s="722"/>
      <c r="BG22" s="722"/>
      <c r="BH22" s="722"/>
      <c r="BI22" s="66"/>
      <c r="BJ22" s="755" t="str">
        <f t="shared" si="2"/>
        <v/>
      </c>
      <c r="BK22" s="755"/>
      <c r="BL22" s="755"/>
      <c r="BM22" s="755"/>
      <c r="BO22" s="18"/>
      <c r="BR22" s="57"/>
      <c r="BS22" s="28"/>
      <c r="BT22" s="28"/>
      <c r="BU22" s="32" t="str">
        <f>J22</f>
        <v>Autres</v>
      </c>
      <c r="BV22" s="28"/>
      <c r="BW22" s="28"/>
      <c r="BX22" s="28"/>
      <c r="BY22" s="28"/>
      <c r="BZ22" s="28"/>
      <c r="CA22" s="28"/>
      <c r="CB22" s="28"/>
      <c r="CC22" s="28"/>
      <c r="CD22" s="1174" t="str">
        <f>IF(crd_utiliser_donnees=menu_utilisateur,AU22,Q22)</f>
        <v>N.D.</v>
      </c>
      <c r="CE22" s="1174"/>
      <c r="CF22" s="1174"/>
      <c r="CG22" s="1174"/>
      <c r="CH22" s="90"/>
      <c r="CI22" s="1174" t="str">
        <f>IF(crd_utiliser_donnees=menu_utilisateur,AZ22,V22)</f>
        <v>N.D.</v>
      </c>
      <c r="CJ22" s="1174"/>
      <c r="CK22" s="1174"/>
      <c r="CL22" s="1174"/>
      <c r="CM22" s="604"/>
      <c r="CN22" s="1174" t="str">
        <f>IF(crd_utiliser_donnees=menu_utilisateur,BE22,AA22)</f>
        <v>N.A.</v>
      </c>
      <c r="CO22" s="1174"/>
      <c r="CP22" s="1174"/>
      <c r="CQ22" s="1174"/>
      <c r="CR22" s="27"/>
    </row>
    <row r="23" spans="1:135" ht="15" customHeight="1" x14ac:dyDescent="0.25">
      <c r="F23" s="18"/>
      <c r="I23" s="731" t="s">
        <v>787</v>
      </c>
      <c r="J23" s="731"/>
      <c r="K23" s="731"/>
      <c r="L23" s="731"/>
      <c r="M23" s="731"/>
      <c r="N23" s="731"/>
      <c r="O23" s="731"/>
      <c r="P23" s="731"/>
      <c r="Q23" s="702" t="s">
        <v>313</v>
      </c>
      <c r="R23" s="702"/>
      <c r="S23" s="702"/>
      <c r="T23" s="702"/>
      <c r="U23" s="64"/>
      <c r="V23" s="702" t="str">
        <f>IF(crd_permis="",N.D.,crd_permis*Paramètres!F134/1000)</f>
        <v>N.D.</v>
      </c>
      <c r="W23" s="702"/>
      <c r="X23" s="702"/>
      <c r="Y23" s="702"/>
      <c r="Z23" s="595"/>
      <c r="AA23" s="702" t="str">
        <f>IF(crd_permis="",N.D.,crd_permis*Paramètres!F133/1000)</f>
        <v>N.D.</v>
      </c>
      <c r="AB23" s="702"/>
      <c r="AC23" s="702"/>
      <c r="AD23" s="702"/>
      <c r="AE23" s="601"/>
      <c r="AF23" s="702" t="str">
        <f>IF(crd_permis="",N.D.,SUM(V23,AA23))</f>
        <v>N.D.</v>
      </c>
      <c r="AG23" s="702"/>
      <c r="AH23" s="702"/>
      <c r="AI23" s="702"/>
      <c r="AM23" s="731" t="s">
        <v>787</v>
      </c>
      <c r="AN23" s="731"/>
      <c r="AO23" s="731"/>
      <c r="AP23" s="731"/>
      <c r="AQ23" s="731"/>
      <c r="AR23" s="731"/>
      <c r="AS23" s="731"/>
      <c r="AT23" s="731"/>
      <c r="AU23" s="702" t="s">
        <v>313</v>
      </c>
      <c r="AV23" s="702"/>
      <c r="AW23" s="702"/>
      <c r="AX23" s="702"/>
      <c r="AY23" s="66"/>
      <c r="AZ23" s="696"/>
      <c r="BA23" s="696"/>
      <c r="BB23" s="696"/>
      <c r="BC23" s="696"/>
      <c r="BD23" s="66"/>
      <c r="BE23" s="696"/>
      <c r="BF23" s="696"/>
      <c r="BG23" s="696"/>
      <c r="BH23" s="696"/>
      <c r="BI23" s="66"/>
      <c r="BJ23" s="755" t="str">
        <f>IF(AND(AU23=N.A.,AZ23="",BE23=""),"",SUM(AU23,AZ23,BE23))</f>
        <v/>
      </c>
      <c r="BK23" s="755"/>
      <c r="BL23" s="755"/>
      <c r="BM23" s="755"/>
      <c r="BO23" s="18"/>
      <c r="BR23" s="57"/>
      <c r="BS23" s="30" t="str">
        <f>I23</f>
        <v xml:space="preserve">Rejets de centres de tri de CRD </v>
      </c>
      <c r="BT23" s="31"/>
      <c r="BU23" s="31"/>
      <c r="BV23" s="31"/>
      <c r="BW23" s="31"/>
      <c r="BX23" s="31"/>
      <c r="BY23" s="31"/>
      <c r="BZ23" s="31"/>
      <c r="CA23" s="31"/>
      <c r="CB23" s="31"/>
      <c r="CC23" s="31"/>
      <c r="CD23" s="1174" t="str">
        <f>IF(crd_utiliser_donnees=menu_utilisateur,AU23,Q23)</f>
        <v>N.A.</v>
      </c>
      <c r="CE23" s="1174"/>
      <c r="CF23" s="1174"/>
      <c r="CG23" s="1174"/>
      <c r="CH23" s="92"/>
      <c r="CI23" s="1174" t="str">
        <f>IF(crd_utiliser_donnees=menu_utilisateur,AZ23,V23)</f>
        <v>N.D.</v>
      </c>
      <c r="CJ23" s="1174"/>
      <c r="CK23" s="1174"/>
      <c r="CL23" s="1174"/>
      <c r="CM23" s="92"/>
      <c r="CN23" s="1174" t="str">
        <f>IF(crd_utiliser_donnees=menu_utilisateur,BE23,AA23)</f>
        <v>N.D.</v>
      </c>
      <c r="CO23" s="1174"/>
      <c r="CP23" s="1174"/>
      <c r="CQ23" s="1174"/>
      <c r="CR23" s="27"/>
    </row>
    <row r="24" spans="1:135" ht="15" customHeight="1" x14ac:dyDescent="0.25">
      <c r="F24" s="18"/>
      <c r="I24" s="592"/>
      <c r="J24" s="592"/>
      <c r="K24" s="592"/>
      <c r="L24" s="592"/>
      <c r="M24" s="592"/>
      <c r="N24" s="592"/>
      <c r="O24" s="592"/>
      <c r="P24" s="592"/>
      <c r="Q24" s="596"/>
      <c r="R24" s="596"/>
      <c r="S24" s="596"/>
      <c r="T24" s="596"/>
      <c r="U24" s="63"/>
      <c r="V24" s="595"/>
      <c r="W24" s="595"/>
      <c r="X24" s="595"/>
      <c r="Y24" s="595"/>
      <c r="Z24" s="595"/>
      <c r="AA24" s="63"/>
      <c r="AB24" s="63"/>
      <c r="AC24" s="63"/>
      <c r="AD24" s="63"/>
      <c r="AE24" s="63"/>
      <c r="AF24" s="63"/>
      <c r="AG24" s="63"/>
      <c r="AH24" s="63"/>
      <c r="AI24" s="63"/>
      <c r="AU24" s="67"/>
      <c r="AV24" s="67"/>
      <c r="AW24" s="67"/>
      <c r="AX24" s="67"/>
      <c r="AY24" s="67"/>
      <c r="AZ24" s="67"/>
      <c r="BA24" s="67"/>
      <c r="BB24" s="67"/>
      <c r="BC24" s="67"/>
      <c r="BD24" s="67"/>
      <c r="BE24" s="67"/>
      <c r="BF24" s="67"/>
      <c r="BG24" s="67"/>
      <c r="BH24" s="67"/>
      <c r="BI24" s="67"/>
      <c r="BJ24" s="67"/>
      <c r="BK24" s="67"/>
      <c r="BL24" s="67"/>
      <c r="BM24" s="67"/>
      <c r="BO24" s="18"/>
      <c r="BR24" s="328"/>
      <c r="CD24" s="91"/>
      <c r="CE24" s="91"/>
      <c r="CF24" s="91"/>
      <c r="CG24" s="91"/>
      <c r="CH24" s="91"/>
      <c r="CI24" s="91"/>
      <c r="CJ24" s="91"/>
      <c r="CK24" s="91"/>
      <c r="CL24" s="91"/>
      <c r="CM24" s="91"/>
      <c r="CN24" s="91"/>
      <c r="CO24" s="91"/>
      <c r="CP24" s="91"/>
      <c r="CQ24" s="91"/>
      <c r="CR24" s="329"/>
    </row>
    <row r="25" spans="1:135" ht="15" customHeight="1" x14ac:dyDescent="0.25">
      <c r="A25" s="5" t="s">
        <v>84</v>
      </c>
      <c r="F25" s="18"/>
      <c r="I25" s="730" t="s">
        <v>276</v>
      </c>
      <c r="J25" s="730"/>
      <c r="K25" s="730"/>
      <c r="L25" s="730"/>
      <c r="M25" s="730"/>
      <c r="N25" s="730"/>
      <c r="O25" s="730"/>
      <c r="P25" s="730"/>
      <c r="Q25" s="702" t="str">
        <f>IF(crd_permis="",N.D.,crd_permis*Paramètres!F131/1000)</f>
        <v>N.D.</v>
      </c>
      <c r="R25" s="702"/>
      <c r="S25" s="702"/>
      <c r="T25" s="702"/>
      <c r="U25" s="64"/>
      <c r="V25" s="702" t="str">
        <f>IF(crd_permis="",N.D.,crd_permis*Paramètres!F132/1000)</f>
        <v>N.D.</v>
      </c>
      <c r="W25" s="702"/>
      <c r="X25" s="702"/>
      <c r="Y25" s="702"/>
      <c r="Z25" s="595"/>
      <c r="AA25" s="833" t="str">
        <f>AA23</f>
        <v>N.D.</v>
      </c>
      <c r="AB25" s="833"/>
      <c r="AC25" s="833"/>
      <c r="AD25" s="833"/>
      <c r="AE25" s="601"/>
      <c r="AF25" s="833" t="str">
        <f>IF(crd_permis="",N.D.,SUM(Q25,V25,AA25))</f>
        <v>N.D.</v>
      </c>
      <c r="AG25" s="833"/>
      <c r="AH25" s="833"/>
      <c r="AI25" s="833"/>
      <c r="AM25" s="730" t="str">
        <f>I25</f>
        <v>Total</v>
      </c>
      <c r="AN25" s="730"/>
      <c r="AO25" s="730"/>
      <c r="AP25" s="730"/>
      <c r="AQ25" s="730"/>
      <c r="AR25" s="730"/>
      <c r="AS25" s="730"/>
      <c r="AT25" s="730"/>
      <c r="AU25" s="743" t="str">
        <f>IF(AND(AU17="",AU18=""),"",SUM(AU17,AU18))</f>
        <v/>
      </c>
      <c r="AV25" s="743"/>
      <c r="AW25" s="743"/>
      <c r="AX25" s="743"/>
      <c r="AY25" s="66"/>
      <c r="AZ25" s="743" t="str">
        <f>IF(AND(AZ17="",AZ18=""),"",SUM(AZ17,AZ18,AZ23))</f>
        <v/>
      </c>
      <c r="BA25" s="743"/>
      <c r="BB25" s="743"/>
      <c r="BC25" s="743"/>
      <c r="BD25" s="599"/>
      <c r="BE25" s="743" t="str">
        <f>IF(AND(BE17="",BE18=""),"",SUM(BE17,BE18,BE23))</f>
        <v/>
      </c>
      <c r="BF25" s="743"/>
      <c r="BG25" s="743"/>
      <c r="BH25" s="743"/>
      <c r="BI25" s="66"/>
      <c r="BJ25" s="743" t="str">
        <f>IF(AND(AU25="",AZ25=""),"",SUM(AU25,AZ25,BE25))</f>
        <v/>
      </c>
      <c r="BK25" s="743"/>
      <c r="BL25" s="743"/>
      <c r="BM25" s="743"/>
      <c r="BO25" s="18"/>
      <c r="BR25" s="57"/>
      <c r="BS25" s="30" t="str">
        <f>I25</f>
        <v>Total</v>
      </c>
      <c r="BT25" s="31"/>
      <c r="BU25" s="31"/>
      <c r="BV25" s="31"/>
      <c r="BW25" s="31"/>
      <c r="BX25" s="31"/>
      <c r="BY25" s="31"/>
      <c r="BZ25" s="31"/>
      <c r="CA25" s="31"/>
      <c r="CB25" s="31"/>
      <c r="CC25" s="31"/>
      <c r="CD25" s="1174">
        <f>SUM(crd_tonne_R_agregats,CD18)</f>
        <v>0</v>
      </c>
      <c r="CE25" s="1174"/>
      <c r="CF25" s="1174"/>
      <c r="CG25" s="1174"/>
      <c r="CH25" s="92"/>
      <c r="CI25" s="1174">
        <f>SUM(crd_tonne_E_agregats,CI18,crd_tonne_E_rejets)</f>
        <v>0</v>
      </c>
      <c r="CJ25" s="1174"/>
      <c r="CK25" s="1174"/>
      <c r="CL25" s="1174"/>
      <c r="CM25" s="605"/>
      <c r="CN25" s="1174">
        <f>SUM(crd_tonne_E_usagesLET_rejets,crd_tonne_E_usagesLET_A,crd_tonne_E_usagesLET_NA)</f>
        <v>0</v>
      </c>
      <c r="CO25" s="1174"/>
      <c r="CP25" s="1174"/>
      <c r="CQ25" s="1174"/>
      <c r="CR25" s="27"/>
    </row>
    <row r="26" spans="1:135" ht="15" customHeight="1" thickBot="1" x14ac:dyDescent="0.3">
      <c r="F26" s="18"/>
      <c r="I26" s="770" t="str">
        <f>IF((COUNTIF(Q25,N.D.)+(COUNTIF(V25,N.D.)))=0,"",N.D.)</f>
        <v>N.D.</v>
      </c>
      <c r="J26" s="770"/>
      <c r="K26" s="735" t="str">
        <f>IF(I26=N.D.,txt_N.D.&amp;I5,"")</f>
        <v>Non disponible : vérifiez les données à la question 4.1.</v>
      </c>
      <c r="L26" s="735"/>
      <c r="M26" s="735"/>
      <c r="N26" s="735"/>
      <c r="O26" s="735"/>
      <c r="P26" s="735"/>
      <c r="Q26" s="735"/>
      <c r="R26" s="735"/>
      <c r="S26" s="735"/>
      <c r="T26" s="735"/>
      <c r="U26" s="735"/>
      <c r="V26" s="735"/>
      <c r="W26" s="735"/>
      <c r="X26" s="735"/>
      <c r="Y26" s="735"/>
      <c r="Z26" s="735"/>
      <c r="AA26" s="735"/>
      <c r="AB26" s="735"/>
      <c r="AC26" s="735"/>
      <c r="AD26" s="735"/>
      <c r="AE26" s="19"/>
      <c r="AF26" s="19"/>
      <c r="AG26" s="19"/>
      <c r="AH26" s="19"/>
      <c r="AI26" s="19"/>
      <c r="AM26" s="94" t="str">
        <f>IF((COUNTIF(AU17:AU22,"")+(COUNTIF(AZ17:AZ22,"")))=0,"plein","vide")</f>
        <v>vide</v>
      </c>
      <c r="BO26" s="18"/>
      <c r="BR26" s="58"/>
      <c r="BS26" s="34"/>
      <c r="BT26" s="34"/>
      <c r="BU26" s="34"/>
      <c r="BV26" s="34"/>
      <c r="BW26" s="34"/>
      <c r="BX26" s="34"/>
      <c r="BY26" s="34"/>
      <c r="BZ26" s="34"/>
      <c r="CA26" s="34"/>
      <c r="CB26" s="34"/>
      <c r="CC26" s="34"/>
      <c r="CD26" s="34"/>
      <c r="CE26" s="34"/>
      <c r="CF26" s="34"/>
      <c r="CG26" s="34"/>
      <c r="CH26" s="34"/>
      <c r="CI26" s="34"/>
      <c r="CJ26" s="34"/>
      <c r="CK26" s="34"/>
      <c r="CL26" s="34"/>
      <c r="CM26" s="493"/>
      <c r="CN26" s="493"/>
      <c r="CO26" s="493"/>
      <c r="CP26" s="493"/>
      <c r="CQ26" s="493"/>
      <c r="CR26" s="35"/>
    </row>
    <row r="27" spans="1:135" ht="15" customHeight="1" x14ac:dyDescent="0.25">
      <c r="F27" s="18"/>
      <c r="W27" s="96"/>
      <c r="AJ27" s="767" t="str">
        <f>txt_aide</f>
        <v>Aide à la validation des données :</v>
      </c>
      <c r="AK27" s="767"/>
      <c r="AL27" s="767"/>
      <c r="AM27" s="767"/>
      <c r="AN27" s="767"/>
      <c r="AO27" s="767"/>
      <c r="AP27" s="767"/>
      <c r="AQ27" s="767"/>
      <c r="AR27" s="767"/>
      <c r="AS27" s="767"/>
      <c r="AT27" s="767"/>
      <c r="AU27" s="1172" t="str">
        <f>IF(OR(AF25=N.D.,AU22="",AU17="",AU19="",AU20="",AU21=""),N.D.,IF(AND(Q25=0,AU25=0),0,IF(OR(Q25=0,AU25=0),N.A.,IF(AU25&lt;Q25,(Q25-AU25)/AU25,(AU25-Q25)/Q25))))</f>
        <v>N.D.</v>
      </c>
      <c r="AV27" s="1172"/>
      <c r="AW27" s="1172"/>
      <c r="AX27" s="1172"/>
      <c r="AY27" s="97"/>
      <c r="AZ27" s="1172" t="str">
        <f>IF(OR(AF25=N.D.,AZ22="",AZ17="",AZ19="",AZ20="",AZ21="",AZ23=""),N.D.,IF(AND(V25=0,AZ25=0),0,IF(OR(V25=0,AZ25=0),N.A.,IF(AZ25&lt;V25,(V25-AZ25)/AZ25,(AZ25-V25)/V25))))</f>
        <v>N.D.</v>
      </c>
      <c r="BA27" s="1172"/>
      <c r="BB27" s="1172"/>
      <c r="BC27" s="1172"/>
      <c r="BD27" s="600"/>
      <c r="BE27" s="1172" t="str">
        <f>IF(OR(AF25=N.D.,BE22="",BE17="",BE19="",BE20="",BE21=""),N.D.,IF(AND(AA25=0,BE25=0),0,IF(OR(AA25=0,BE25=0),N.A.,IF(BE25&lt;AA25,(AA25-BE25)/BE25,(BE25-AA25)/AA25))))</f>
        <v>N.D.</v>
      </c>
      <c r="BF27" s="1172"/>
      <c r="BG27" s="1172"/>
      <c r="BH27" s="1172"/>
      <c r="BI27" s="76"/>
      <c r="BJ27" s="1172" t="str">
        <f>IF(OR(AF25=N.D.,BJ22="",BJ17="",BJ19="",BJ20="",BJ21=""),N.D.,IF(AND(AF25=0,BJ25=0),0,IF(OR(AF25=0,BJ25=0),N.A.,IF(BJ25&lt;AF25,(AF25-BJ25)/BJ25,(BJ25-AF25)/AF25))))</f>
        <v>N.D.</v>
      </c>
      <c r="BK27" s="1172"/>
      <c r="BL27" s="1172"/>
      <c r="BM27" s="1172"/>
      <c r="BO27" s="18"/>
    </row>
    <row r="28" spans="1:135" ht="15" customHeight="1" x14ac:dyDescent="0.25">
      <c r="F28" s="18"/>
      <c r="AM28" s="98" t="str">
        <f>IF(crd_utiliser_donnees&lt;&gt;menu_outil,IF((COUNTIF(AU27,N.D.)+(COUNTIF(AZ27,N.D.)))=0,"",N.D.),"")</f>
        <v>N.D.</v>
      </c>
      <c r="AN28" s="3" t="str">
        <f>puce1</f>
        <v>Ä</v>
      </c>
      <c r="AO28" s="735" t="str">
        <f>IF(I26=N.D.,K26,IF(AM28=N.D.,txt_N.D.&amp;AN14,IF(crd_utiliser_donnees&lt;&gt;menu_outil,"",txt_validation)))</f>
        <v>Non disponible : vérifiez les données à la question 4.1.</v>
      </c>
      <c r="AP28" s="735"/>
      <c r="AQ28" s="735"/>
      <c r="AR28" s="735"/>
      <c r="AS28" s="735"/>
      <c r="AT28" s="735"/>
      <c r="AU28" s="735"/>
      <c r="AV28" s="735"/>
      <c r="AW28" s="735"/>
      <c r="AX28" s="735"/>
      <c r="AY28" s="735"/>
      <c r="AZ28" s="735"/>
      <c r="BA28" s="735"/>
      <c r="BB28" s="735"/>
      <c r="BC28" s="735"/>
      <c r="BD28" s="735"/>
      <c r="BE28" s="735"/>
      <c r="BF28" s="735"/>
      <c r="BG28" s="735"/>
      <c r="BH28" s="735"/>
      <c r="BI28" s="735"/>
      <c r="BJ28" s="735"/>
      <c r="BK28" s="735"/>
      <c r="BL28" s="735"/>
      <c r="BM28" s="735"/>
      <c r="BO28" s="18"/>
    </row>
    <row r="29" spans="1:135" ht="14.25" customHeight="1" x14ac:dyDescent="0.25">
      <c r="F29" s="18"/>
      <c r="I29" s="14"/>
      <c r="AM29" s="99" t="str">
        <f>IF(crd_utiliser_donnees&lt;&gt;menu_outil,IF((COUNTIF(AU27,N.A.)+(COUNTIF(AZ27,N.A.)))=0,"",N.A.),"")</f>
        <v/>
      </c>
      <c r="AN29" s="87"/>
      <c r="AO29" s="766" t="str">
        <f>IF(AM29=N.A.,txt_N.A.,"")</f>
        <v/>
      </c>
      <c r="AP29" s="766"/>
      <c r="AQ29" s="766"/>
      <c r="AR29" s="766"/>
      <c r="AS29" s="766"/>
      <c r="AT29" s="766"/>
      <c r="AU29" s="766"/>
      <c r="AV29" s="766"/>
      <c r="AW29" s="766"/>
      <c r="AX29" s="766"/>
      <c r="AY29" s="766"/>
      <c r="AZ29" s="766"/>
      <c r="BA29" s="766"/>
      <c r="BB29" s="766"/>
      <c r="BC29" s="766"/>
      <c r="BD29" s="766"/>
      <c r="BE29" s="766"/>
      <c r="BF29" s="766"/>
      <c r="BG29" s="766"/>
      <c r="BH29" s="766"/>
      <c r="BI29" s="766"/>
      <c r="BJ29" s="766"/>
      <c r="BK29" s="766"/>
      <c r="BL29" s="766"/>
      <c r="BM29" s="766"/>
      <c r="BO29" s="18"/>
    </row>
    <row r="30" spans="1:135" ht="15.75" customHeight="1" x14ac:dyDescent="0.25">
      <c r="F30" s="18"/>
      <c r="I30" s="602"/>
      <c r="BO30" s="18"/>
    </row>
    <row r="31" spans="1:135" ht="14.25" customHeight="1" x14ac:dyDescent="0.25">
      <c r="A31" s="627" t="s">
        <v>326</v>
      </c>
      <c r="F31" s="18"/>
      <c r="J31"/>
      <c r="K31"/>
      <c r="L31"/>
      <c r="M31"/>
      <c r="N31"/>
      <c r="O31"/>
      <c r="P31"/>
      <c r="Q31"/>
      <c r="R31"/>
      <c r="S31"/>
      <c r="T31"/>
      <c r="U31"/>
      <c r="V31"/>
      <c r="W31"/>
      <c r="X31"/>
      <c r="Y31"/>
      <c r="Z31"/>
      <c r="AA31"/>
      <c r="AB31"/>
      <c r="AC31"/>
      <c r="AD31"/>
      <c r="AE31"/>
      <c r="AF31"/>
      <c r="AG31"/>
      <c r="AH31"/>
      <c r="AI31"/>
      <c r="BO31" s="18"/>
    </row>
    <row r="32" spans="1:135" ht="5.25" customHeight="1" x14ac:dyDescent="0.25">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row>
    <row r="33" spans="7:66" ht="15" customHeight="1" x14ac:dyDescent="0.25">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row>
    <row r="34" spans="7:66" ht="15" customHeight="1" x14ac:dyDescent="0.25">
      <c r="H34" s="12" t="s">
        <v>334</v>
      </c>
    </row>
    <row r="35" spans="7:66" ht="15" customHeight="1" x14ac:dyDescent="0.25">
      <c r="H35" s="850" t="str">
        <f>Sources!C5</f>
        <v>Année de la source</v>
      </c>
      <c r="I35" s="850"/>
      <c r="J35" s="850"/>
      <c r="K35" s="850"/>
      <c r="L35" s="850"/>
      <c r="M35" s="850"/>
      <c r="N35" s="14"/>
      <c r="O35" s="850" t="str">
        <f>Sources!J5</f>
        <v>Auteur</v>
      </c>
      <c r="P35" s="850"/>
      <c r="Q35" s="850"/>
      <c r="R35" s="850"/>
      <c r="S35" s="850"/>
      <c r="T35" s="850"/>
      <c r="U35" s="850"/>
      <c r="V35" s="850"/>
      <c r="W35" s="850"/>
      <c r="X35" s="850"/>
      <c r="Y35" s="850"/>
      <c r="Z35" s="850"/>
      <c r="AA35" s="850"/>
      <c r="AB35" s="850"/>
      <c r="AC35" s="14"/>
      <c r="AD35" s="850" t="str">
        <f>Sources!Y5</f>
        <v>Titre</v>
      </c>
      <c r="AE35" s="850"/>
      <c r="AF35" s="850"/>
      <c r="AG35" s="850"/>
      <c r="AH35" s="850"/>
      <c r="AI35" s="850"/>
      <c r="AJ35" s="850"/>
      <c r="AK35" s="850"/>
      <c r="AL35" s="850"/>
      <c r="AM35" s="850"/>
      <c r="AN35" s="850"/>
      <c r="AO35" s="850"/>
      <c r="AP35" s="850"/>
      <c r="AQ35" s="850"/>
      <c r="AR35" s="850"/>
      <c r="AS35" s="850"/>
      <c r="AT35" s="850"/>
      <c r="AU35" s="850"/>
      <c r="AV35" s="850"/>
      <c r="AW35" s="850"/>
      <c r="AX35" s="850"/>
      <c r="AY35" s="850"/>
      <c r="AZ35" s="14"/>
      <c r="BA35" s="850" t="str">
        <f>Sources!AQ5</f>
        <v>Utilisées dans la section :</v>
      </c>
      <c r="BB35" s="850"/>
      <c r="BC35" s="850"/>
      <c r="BD35" s="850"/>
      <c r="BE35" s="850"/>
      <c r="BF35" s="850"/>
      <c r="BG35" s="850"/>
      <c r="BH35" s="850"/>
      <c r="BI35" s="850"/>
      <c r="BJ35" s="850"/>
      <c r="BK35" s="850"/>
      <c r="BL35" s="850"/>
      <c r="BM35" s="850"/>
      <c r="BN35" s="87"/>
    </row>
    <row r="36" spans="7:66" ht="15" customHeight="1" x14ac:dyDescent="0.25">
      <c r="H36" s="848"/>
      <c r="I36" s="848"/>
      <c r="J36" s="848"/>
      <c r="K36" s="848"/>
      <c r="L36" s="848"/>
      <c r="M36" s="848"/>
      <c r="N36" s="14"/>
      <c r="O36" s="849"/>
      <c r="P36" s="849"/>
      <c r="Q36" s="849"/>
      <c r="R36" s="849"/>
      <c r="S36" s="849"/>
      <c r="T36" s="849"/>
      <c r="U36" s="849"/>
      <c r="V36" s="849"/>
      <c r="W36" s="849"/>
      <c r="X36" s="849"/>
      <c r="Y36" s="849"/>
      <c r="Z36" s="849"/>
      <c r="AA36" s="849"/>
      <c r="AB36" s="849"/>
      <c r="AC36" s="14"/>
      <c r="AD36" s="1173"/>
      <c r="AE36" s="1173"/>
      <c r="AF36" s="1173"/>
      <c r="AG36" s="1173"/>
      <c r="AH36" s="1173"/>
      <c r="AI36" s="1173"/>
      <c r="AJ36" s="1173"/>
      <c r="AK36" s="1173"/>
      <c r="AL36" s="1173"/>
      <c r="AM36" s="1173"/>
      <c r="AN36" s="1173"/>
      <c r="AO36" s="1173"/>
      <c r="AP36" s="1173"/>
      <c r="AQ36" s="1173"/>
      <c r="AR36" s="1173"/>
      <c r="AS36" s="1173"/>
      <c r="AT36" s="1173"/>
      <c r="AU36" s="1173"/>
      <c r="AV36" s="1173"/>
      <c r="AW36" s="1173"/>
      <c r="AX36" s="1173"/>
      <c r="AY36" s="1173"/>
      <c r="AZ36" s="14"/>
      <c r="BA36" s="849"/>
      <c r="BB36" s="849"/>
      <c r="BC36" s="849"/>
      <c r="BD36" s="849"/>
      <c r="BE36" s="849"/>
      <c r="BF36" s="849"/>
      <c r="BG36" s="849"/>
      <c r="BH36" s="849"/>
      <c r="BI36" s="849"/>
      <c r="BJ36" s="849"/>
      <c r="BK36" s="849"/>
      <c r="BL36" s="849"/>
      <c r="BM36" s="849"/>
    </row>
    <row r="37" spans="7:66" ht="15" customHeight="1" x14ac:dyDescent="0.25">
      <c r="H37" s="848"/>
      <c r="I37" s="848"/>
      <c r="J37" s="848"/>
      <c r="K37" s="848"/>
      <c r="L37" s="848"/>
      <c r="M37" s="848"/>
      <c r="N37" s="14"/>
      <c r="O37" s="849"/>
      <c r="P37" s="849"/>
      <c r="Q37" s="849"/>
      <c r="R37" s="849"/>
      <c r="S37" s="849"/>
      <c r="T37" s="849"/>
      <c r="U37" s="849"/>
      <c r="V37" s="849"/>
      <c r="W37" s="849"/>
      <c r="X37" s="849"/>
      <c r="Y37" s="849"/>
      <c r="Z37" s="849"/>
      <c r="AA37" s="849"/>
      <c r="AB37" s="849"/>
      <c r="AC37" s="14"/>
      <c r="AD37" s="1173"/>
      <c r="AE37" s="1173"/>
      <c r="AF37" s="1173"/>
      <c r="AG37" s="1173"/>
      <c r="AH37" s="1173"/>
      <c r="AI37" s="1173"/>
      <c r="AJ37" s="1173"/>
      <c r="AK37" s="1173"/>
      <c r="AL37" s="1173"/>
      <c r="AM37" s="1173"/>
      <c r="AN37" s="1173"/>
      <c r="AO37" s="1173"/>
      <c r="AP37" s="1173"/>
      <c r="AQ37" s="1173"/>
      <c r="AR37" s="1173"/>
      <c r="AS37" s="1173"/>
      <c r="AT37" s="1173"/>
      <c r="AU37" s="1173"/>
      <c r="AV37" s="1173"/>
      <c r="AW37" s="1173"/>
      <c r="AX37" s="1173"/>
      <c r="AY37" s="1173"/>
      <c r="AZ37" s="14"/>
      <c r="BA37" s="849"/>
      <c r="BB37" s="849"/>
      <c r="BC37" s="849"/>
      <c r="BD37" s="849"/>
      <c r="BE37" s="849"/>
      <c r="BF37" s="849"/>
      <c r="BG37" s="849"/>
      <c r="BH37" s="849"/>
      <c r="BI37" s="849"/>
      <c r="BJ37" s="849"/>
      <c r="BK37" s="849"/>
      <c r="BL37" s="849"/>
      <c r="BM37" s="849"/>
    </row>
    <row r="38" spans="7:66" x14ac:dyDescent="0.25">
      <c r="H38" s="848"/>
      <c r="I38" s="848"/>
      <c r="J38" s="848"/>
      <c r="K38" s="848"/>
      <c r="L38" s="848"/>
      <c r="M38" s="848"/>
      <c r="N38" s="14"/>
      <c r="O38" s="849"/>
      <c r="P38" s="849"/>
      <c r="Q38" s="849"/>
      <c r="R38" s="849"/>
      <c r="S38" s="849"/>
      <c r="T38" s="849"/>
      <c r="U38" s="849"/>
      <c r="V38" s="849"/>
      <c r="W38" s="849"/>
      <c r="X38" s="849"/>
      <c r="Y38" s="849"/>
      <c r="Z38" s="849"/>
      <c r="AA38" s="849"/>
      <c r="AB38" s="849"/>
      <c r="AC38" s="14"/>
      <c r="AD38" s="1173"/>
      <c r="AE38" s="1173"/>
      <c r="AF38" s="1173"/>
      <c r="AG38" s="1173"/>
      <c r="AH38" s="1173"/>
      <c r="AI38" s="1173"/>
      <c r="AJ38" s="1173"/>
      <c r="AK38" s="1173"/>
      <c r="AL38" s="1173"/>
      <c r="AM38" s="1173"/>
      <c r="AN38" s="1173"/>
      <c r="AO38" s="1173"/>
      <c r="AP38" s="1173"/>
      <c r="AQ38" s="1173"/>
      <c r="AR38" s="1173"/>
      <c r="AS38" s="1173"/>
      <c r="AT38" s="1173"/>
      <c r="AU38" s="1173"/>
      <c r="AV38" s="1173"/>
      <c r="AW38" s="1173"/>
      <c r="AX38" s="1173"/>
      <c r="AY38" s="1173"/>
      <c r="AZ38" s="14"/>
      <c r="BA38" s="849"/>
      <c r="BB38" s="849"/>
      <c r="BC38" s="849"/>
      <c r="BD38" s="849"/>
      <c r="BE38" s="849"/>
      <c r="BF38" s="849"/>
      <c r="BG38" s="849"/>
      <c r="BH38" s="849"/>
      <c r="BI38" s="849"/>
      <c r="BJ38" s="849"/>
      <c r="BK38" s="849"/>
      <c r="BL38" s="849"/>
      <c r="BM38" s="849"/>
    </row>
    <row r="39" spans="7:66" x14ac:dyDescent="0.25">
      <c r="H39" s="848"/>
      <c r="I39" s="848"/>
      <c r="J39" s="848"/>
      <c r="K39" s="848"/>
      <c r="L39" s="848"/>
      <c r="M39" s="848"/>
      <c r="N39" s="14"/>
      <c r="O39" s="849"/>
      <c r="P39" s="849"/>
      <c r="Q39" s="849"/>
      <c r="R39" s="849"/>
      <c r="S39" s="849"/>
      <c r="T39" s="849"/>
      <c r="U39" s="849"/>
      <c r="V39" s="849"/>
      <c r="W39" s="849"/>
      <c r="X39" s="849"/>
      <c r="Y39" s="849"/>
      <c r="Z39" s="849"/>
      <c r="AA39" s="849"/>
      <c r="AB39" s="849"/>
      <c r="AC39" s="14"/>
      <c r="AD39" s="1173"/>
      <c r="AE39" s="1173"/>
      <c r="AF39" s="1173"/>
      <c r="AG39" s="1173"/>
      <c r="AH39" s="1173"/>
      <c r="AI39" s="1173"/>
      <c r="AJ39" s="1173"/>
      <c r="AK39" s="1173"/>
      <c r="AL39" s="1173"/>
      <c r="AM39" s="1173"/>
      <c r="AN39" s="1173"/>
      <c r="AO39" s="1173"/>
      <c r="AP39" s="1173"/>
      <c r="AQ39" s="1173"/>
      <c r="AR39" s="1173"/>
      <c r="AS39" s="1173"/>
      <c r="AT39" s="1173"/>
      <c r="AU39" s="1173"/>
      <c r="AV39" s="1173"/>
      <c r="AW39" s="1173"/>
      <c r="AX39" s="1173"/>
      <c r="AY39" s="1173"/>
      <c r="AZ39" s="14"/>
      <c r="BA39" s="849"/>
      <c r="BB39" s="849"/>
      <c r="BC39" s="849"/>
      <c r="BD39" s="849"/>
      <c r="BE39" s="849"/>
      <c r="BF39" s="849"/>
      <c r="BG39" s="849"/>
      <c r="BH39" s="849"/>
      <c r="BI39" s="849"/>
      <c r="BJ39" s="849"/>
      <c r="BK39" s="849"/>
      <c r="BL39" s="849"/>
      <c r="BM39" s="849"/>
    </row>
    <row r="40" spans="7:66" x14ac:dyDescent="0.25">
      <c r="H40" s="848"/>
      <c r="I40" s="848"/>
      <c r="J40" s="848"/>
      <c r="K40" s="848"/>
      <c r="L40" s="848"/>
      <c r="M40" s="848"/>
      <c r="N40" s="14"/>
      <c r="O40" s="849"/>
      <c r="P40" s="849"/>
      <c r="Q40" s="849"/>
      <c r="R40" s="849"/>
      <c r="S40" s="849"/>
      <c r="T40" s="849"/>
      <c r="U40" s="849"/>
      <c r="V40" s="849"/>
      <c r="W40" s="849"/>
      <c r="X40" s="849"/>
      <c r="Y40" s="849"/>
      <c r="Z40" s="849"/>
      <c r="AA40" s="849"/>
      <c r="AB40" s="849"/>
      <c r="AC40" s="14"/>
      <c r="AD40" s="1173"/>
      <c r="AE40" s="1173"/>
      <c r="AF40" s="1173"/>
      <c r="AG40" s="1173"/>
      <c r="AH40" s="1173"/>
      <c r="AI40" s="1173"/>
      <c r="AJ40" s="1173"/>
      <c r="AK40" s="1173"/>
      <c r="AL40" s="1173"/>
      <c r="AM40" s="1173"/>
      <c r="AN40" s="1173"/>
      <c r="AO40" s="1173"/>
      <c r="AP40" s="1173"/>
      <c r="AQ40" s="1173"/>
      <c r="AR40" s="1173"/>
      <c r="AS40" s="1173"/>
      <c r="AT40" s="1173"/>
      <c r="AU40" s="1173"/>
      <c r="AV40" s="1173"/>
      <c r="AW40" s="1173"/>
      <c r="AX40" s="1173"/>
      <c r="AY40" s="1173"/>
      <c r="AZ40" s="14"/>
      <c r="BA40" s="849"/>
      <c r="BB40" s="849"/>
      <c r="BC40" s="849"/>
      <c r="BD40" s="849"/>
      <c r="BE40" s="849"/>
      <c r="BF40" s="849"/>
      <c r="BG40" s="849"/>
      <c r="BH40" s="849"/>
      <c r="BI40" s="849"/>
      <c r="BJ40" s="849"/>
      <c r="BK40" s="849"/>
      <c r="BL40" s="849"/>
      <c r="BM40" s="849"/>
    </row>
    <row r="41" spans="7:66" x14ac:dyDescent="0.25">
      <c r="H41" s="848"/>
      <c r="I41" s="848"/>
      <c r="J41" s="848"/>
      <c r="K41" s="848"/>
      <c r="L41" s="848"/>
      <c r="M41" s="848"/>
      <c r="N41" s="14"/>
      <c r="O41" s="849"/>
      <c r="P41" s="849"/>
      <c r="Q41" s="849"/>
      <c r="R41" s="849"/>
      <c r="S41" s="849"/>
      <c r="T41" s="849"/>
      <c r="U41" s="849"/>
      <c r="V41" s="849"/>
      <c r="W41" s="849"/>
      <c r="X41" s="849"/>
      <c r="Y41" s="849"/>
      <c r="Z41" s="849"/>
      <c r="AA41" s="849"/>
      <c r="AB41" s="849"/>
      <c r="AC41" s="14"/>
      <c r="AD41" s="1173"/>
      <c r="AE41" s="1173"/>
      <c r="AF41" s="1173"/>
      <c r="AG41" s="1173"/>
      <c r="AH41" s="1173"/>
      <c r="AI41" s="1173"/>
      <c r="AJ41" s="1173"/>
      <c r="AK41" s="1173"/>
      <c r="AL41" s="1173"/>
      <c r="AM41" s="1173"/>
      <c r="AN41" s="1173"/>
      <c r="AO41" s="1173"/>
      <c r="AP41" s="1173"/>
      <c r="AQ41" s="1173"/>
      <c r="AR41" s="1173"/>
      <c r="AS41" s="1173"/>
      <c r="AT41" s="1173"/>
      <c r="AU41" s="1173"/>
      <c r="AV41" s="1173"/>
      <c r="AW41" s="1173"/>
      <c r="AX41" s="1173"/>
      <c r="AY41" s="1173"/>
      <c r="AZ41" s="14"/>
      <c r="BA41" s="849"/>
      <c r="BB41" s="849"/>
      <c r="BC41" s="849"/>
      <c r="BD41" s="849"/>
      <c r="BE41" s="849"/>
      <c r="BF41" s="849"/>
      <c r="BG41" s="849"/>
      <c r="BH41" s="849"/>
      <c r="BI41" s="849"/>
      <c r="BJ41" s="849"/>
      <c r="BK41" s="849"/>
      <c r="BL41" s="849"/>
      <c r="BM41" s="849"/>
    </row>
    <row r="42" spans="7:66" x14ac:dyDescent="0.25">
      <c r="H42" s="848"/>
      <c r="I42" s="848"/>
      <c r="J42" s="848"/>
      <c r="K42" s="848"/>
      <c r="L42" s="848"/>
      <c r="M42" s="848"/>
      <c r="N42" s="14"/>
      <c r="O42" s="849"/>
      <c r="P42" s="849"/>
      <c r="Q42" s="849"/>
      <c r="R42" s="849"/>
      <c r="S42" s="849"/>
      <c r="T42" s="849"/>
      <c r="U42" s="849"/>
      <c r="V42" s="849"/>
      <c r="W42" s="849"/>
      <c r="X42" s="849"/>
      <c r="Y42" s="849"/>
      <c r="Z42" s="849"/>
      <c r="AA42" s="849"/>
      <c r="AB42" s="849"/>
      <c r="AC42" s="14"/>
      <c r="AD42" s="1173"/>
      <c r="AE42" s="1173"/>
      <c r="AF42" s="1173"/>
      <c r="AG42" s="1173"/>
      <c r="AH42" s="1173"/>
      <c r="AI42" s="1173"/>
      <c r="AJ42" s="1173"/>
      <c r="AK42" s="1173"/>
      <c r="AL42" s="1173"/>
      <c r="AM42" s="1173"/>
      <c r="AN42" s="1173"/>
      <c r="AO42" s="1173"/>
      <c r="AP42" s="1173"/>
      <c r="AQ42" s="1173"/>
      <c r="AR42" s="1173"/>
      <c r="AS42" s="1173"/>
      <c r="AT42" s="1173"/>
      <c r="AU42" s="1173"/>
      <c r="AV42" s="1173"/>
      <c r="AW42" s="1173"/>
      <c r="AX42" s="1173"/>
      <c r="AY42" s="1173"/>
      <c r="AZ42" s="14"/>
      <c r="BA42" s="849"/>
      <c r="BB42" s="849"/>
      <c r="BC42" s="849"/>
      <c r="BD42" s="849"/>
      <c r="BE42" s="849"/>
      <c r="BF42" s="849"/>
      <c r="BG42" s="849"/>
      <c r="BH42" s="849"/>
      <c r="BI42" s="849"/>
      <c r="BJ42" s="849"/>
      <c r="BK42" s="849"/>
      <c r="BL42" s="849"/>
      <c r="BM42" s="849"/>
    </row>
    <row r="43" spans="7:66" x14ac:dyDescent="0.25">
      <c r="H43" s="848"/>
      <c r="I43" s="848"/>
      <c r="J43" s="848"/>
      <c r="K43" s="848"/>
      <c r="L43" s="848"/>
      <c r="M43" s="848"/>
      <c r="N43" s="14"/>
      <c r="O43" s="849"/>
      <c r="P43" s="849"/>
      <c r="Q43" s="849"/>
      <c r="R43" s="849"/>
      <c r="S43" s="849"/>
      <c r="T43" s="849"/>
      <c r="U43" s="849"/>
      <c r="V43" s="849"/>
      <c r="W43" s="849"/>
      <c r="X43" s="849"/>
      <c r="Y43" s="849"/>
      <c r="Z43" s="849"/>
      <c r="AA43" s="849"/>
      <c r="AB43" s="849"/>
      <c r="AC43" s="14"/>
      <c r="AD43" s="1173"/>
      <c r="AE43" s="1173"/>
      <c r="AF43" s="1173"/>
      <c r="AG43" s="1173"/>
      <c r="AH43" s="1173"/>
      <c r="AI43" s="1173"/>
      <c r="AJ43" s="1173"/>
      <c r="AK43" s="1173"/>
      <c r="AL43" s="1173"/>
      <c r="AM43" s="1173"/>
      <c r="AN43" s="1173"/>
      <c r="AO43" s="1173"/>
      <c r="AP43" s="1173"/>
      <c r="AQ43" s="1173"/>
      <c r="AR43" s="1173"/>
      <c r="AS43" s="1173"/>
      <c r="AT43" s="1173"/>
      <c r="AU43" s="1173"/>
      <c r="AV43" s="1173"/>
      <c r="AW43" s="1173"/>
      <c r="AX43" s="1173"/>
      <c r="AY43" s="1173"/>
      <c r="AZ43" s="14"/>
      <c r="BA43" s="849"/>
      <c r="BB43" s="849"/>
      <c r="BC43" s="849"/>
      <c r="BD43" s="849"/>
      <c r="BE43" s="849"/>
      <c r="BF43" s="849"/>
      <c r="BG43" s="849"/>
      <c r="BH43" s="849"/>
      <c r="BI43" s="849"/>
      <c r="BJ43" s="849"/>
      <c r="BK43" s="849"/>
      <c r="BL43" s="849"/>
      <c r="BM43" s="849"/>
    </row>
    <row r="44" spans="7:66" x14ac:dyDescent="0.25">
      <c r="H44" s="848"/>
      <c r="I44" s="848"/>
      <c r="J44" s="848"/>
      <c r="K44" s="848"/>
      <c r="L44" s="848"/>
      <c r="M44" s="848"/>
      <c r="N44" s="14"/>
      <c r="O44" s="849"/>
      <c r="P44" s="849"/>
      <c r="Q44" s="849"/>
      <c r="R44" s="849"/>
      <c r="S44" s="849"/>
      <c r="T44" s="849"/>
      <c r="U44" s="849"/>
      <c r="V44" s="849"/>
      <c r="W44" s="849"/>
      <c r="X44" s="849"/>
      <c r="Y44" s="849"/>
      <c r="Z44" s="849"/>
      <c r="AA44" s="849"/>
      <c r="AB44" s="849"/>
      <c r="AC44" s="14"/>
      <c r="AD44" s="1173"/>
      <c r="AE44" s="1173"/>
      <c r="AF44" s="1173"/>
      <c r="AG44" s="1173"/>
      <c r="AH44" s="1173"/>
      <c r="AI44" s="1173"/>
      <c r="AJ44" s="1173"/>
      <c r="AK44" s="1173"/>
      <c r="AL44" s="1173"/>
      <c r="AM44" s="1173"/>
      <c r="AN44" s="1173"/>
      <c r="AO44" s="1173"/>
      <c r="AP44" s="1173"/>
      <c r="AQ44" s="1173"/>
      <c r="AR44" s="1173"/>
      <c r="AS44" s="1173"/>
      <c r="AT44" s="1173"/>
      <c r="AU44" s="1173"/>
      <c r="AV44" s="1173"/>
      <c r="AW44" s="1173"/>
      <c r="AX44" s="1173"/>
      <c r="AY44" s="1173"/>
      <c r="AZ44" s="14"/>
      <c r="BA44" s="849"/>
      <c r="BB44" s="849"/>
      <c r="BC44" s="849"/>
      <c r="BD44" s="849"/>
      <c r="BE44" s="849"/>
      <c r="BF44" s="849"/>
      <c r="BG44" s="849"/>
      <c r="BH44" s="849"/>
      <c r="BI44" s="849"/>
      <c r="BJ44" s="849"/>
      <c r="BK44" s="849"/>
      <c r="BL44" s="849"/>
      <c r="BM44" s="849"/>
    </row>
    <row r="45" spans="7:66" x14ac:dyDescent="0.25">
      <c r="H45" s="848"/>
      <c r="I45" s="848"/>
      <c r="J45" s="848"/>
      <c r="K45" s="848"/>
      <c r="L45" s="848"/>
      <c r="M45" s="848"/>
      <c r="N45" s="14"/>
      <c r="O45" s="849"/>
      <c r="P45" s="849"/>
      <c r="Q45" s="849"/>
      <c r="R45" s="849"/>
      <c r="S45" s="849"/>
      <c r="T45" s="849"/>
      <c r="U45" s="849"/>
      <c r="V45" s="849"/>
      <c r="W45" s="849"/>
      <c r="X45" s="849"/>
      <c r="Y45" s="849"/>
      <c r="Z45" s="849"/>
      <c r="AA45" s="849"/>
      <c r="AB45" s="849"/>
      <c r="AC45" s="14"/>
      <c r="AD45" s="1173"/>
      <c r="AE45" s="1173"/>
      <c r="AF45" s="1173"/>
      <c r="AG45" s="1173"/>
      <c r="AH45" s="1173"/>
      <c r="AI45" s="1173"/>
      <c r="AJ45" s="1173"/>
      <c r="AK45" s="1173"/>
      <c r="AL45" s="1173"/>
      <c r="AM45" s="1173"/>
      <c r="AN45" s="1173"/>
      <c r="AO45" s="1173"/>
      <c r="AP45" s="1173"/>
      <c r="AQ45" s="1173"/>
      <c r="AR45" s="1173"/>
      <c r="AS45" s="1173"/>
      <c r="AT45" s="1173"/>
      <c r="AU45" s="1173"/>
      <c r="AV45" s="1173"/>
      <c r="AW45" s="1173"/>
      <c r="AX45" s="1173"/>
      <c r="AY45" s="1173"/>
      <c r="AZ45" s="14"/>
      <c r="BA45" s="849"/>
      <c r="BB45" s="849"/>
      <c r="BC45" s="849"/>
      <c r="BD45" s="849"/>
      <c r="BE45" s="849"/>
      <c r="BF45" s="849"/>
      <c r="BG45" s="849"/>
      <c r="BH45" s="849"/>
      <c r="BI45" s="849"/>
      <c r="BJ45" s="849"/>
      <c r="BK45" s="849"/>
      <c r="BL45" s="849"/>
      <c r="BM45" s="849"/>
    </row>
  </sheetData>
  <sheetProtection algorithmName="SHA-512" hashValue="yduJfny/yQfR6ryZdf8A87BgvUi3LWpJ4Kmf91YYNM+VSJYQCUwehJgGmJFf2hpvJ16AcAZuKLcA6+/b6uCygA==" saltValue="WUOJRqtQi33+Zy5YVyvr8w==" spinCount="100000" sheet="1" objects="1" scenarios="1"/>
  <mergeCells count="178">
    <mergeCell ref="AA19:AD19"/>
    <mergeCell ref="AF20:AI20"/>
    <mergeCell ref="BE21:BH21"/>
    <mergeCell ref="CD22:CG22"/>
    <mergeCell ref="CI22:CL22"/>
    <mergeCell ref="AZ21:BC21"/>
    <mergeCell ref="CD21:CG21"/>
    <mergeCell ref="BJ21:BM21"/>
    <mergeCell ref="AF16:AI16"/>
    <mergeCell ref="AZ16:BC16"/>
    <mergeCell ref="AU16:AX16"/>
    <mergeCell ref="AF17:AI17"/>
    <mergeCell ref="BE19:BH19"/>
    <mergeCell ref="AF18:AI18"/>
    <mergeCell ref="CN25:CQ25"/>
    <mergeCell ref="AF21:AI21"/>
    <mergeCell ref="CN16:CQ16"/>
    <mergeCell ref="CN17:CQ17"/>
    <mergeCell ref="CN18:CQ18"/>
    <mergeCell ref="CN19:CQ19"/>
    <mergeCell ref="CN20:CQ20"/>
    <mergeCell ref="CN21:CQ21"/>
    <mergeCell ref="CN22:CQ22"/>
    <mergeCell ref="CN23:CQ23"/>
    <mergeCell ref="CD23:CG23"/>
    <mergeCell ref="CI23:CL23"/>
    <mergeCell ref="CI17:CL17"/>
    <mergeCell ref="CI16:CL16"/>
    <mergeCell ref="CD17:CG17"/>
    <mergeCell ref="CD16:CG16"/>
    <mergeCell ref="BJ16:BM16"/>
    <mergeCell ref="BJ17:BM17"/>
    <mergeCell ref="CI21:CL21"/>
    <mergeCell ref="AN19:AT19"/>
    <mergeCell ref="BE20:BH20"/>
    <mergeCell ref="AF19:AI19"/>
    <mergeCell ref="AK5:AX5"/>
    <mergeCell ref="AA5:AB5"/>
    <mergeCell ref="K10:AA10"/>
    <mergeCell ref="S11:AA11"/>
    <mergeCell ref="AK6:BG9"/>
    <mergeCell ref="AU17:AX17"/>
    <mergeCell ref="AM17:AT17"/>
    <mergeCell ref="BE17:BH17"/>
    <mergeCell ref="BE16:BH16"/>
    <mergeCell ref="U5:Y5"/>
    <mergeCell ref="J8:O8"/>
    <mergeCell ref="J5:T5"/>
    <mergeCell ref="AO14:BM14"/>
    <mergeCell ref="K14:AD14"/>
    <mergeCell ref="Q16:T16"/>
    <mergeCell ref="V16:Y16"/>
    <mergeCell ref="AA16:AD16"/>
    <mergeCell ref="J21:P21"/>
    <mergeCell ref="Q17:T17"/>
    <mergeCell ref="V17:Y17"/>
    <mergeCell ref="AA17:AD17"/>
    <mergeCell ref="AZ17:BC17"/>
    <mergeCell ref="AN20:AT20"/>
    <mergeCell ref="AU21:AX21"/>
    <mergeCell ref="Q20:T20"/>
    <mergeCell ref="V20:Y20"/>
    <mergeCell ref="AA21:AD21"/>
    <mergeCell ref="Q21:T21"/>
    <mergeCell ref="V21:Y21"/>
    <mergeCell ref="J20:P20"/>
    <mergeCell ref="AA20:AD20"/>
    <mergeCell ref="AN21:AT21"/>
    <mergeCell ref="J19:P19"/>
    <mergeCell ref="AA18:AD18"/>
    <mergeCell ref="AM18:AT18"/>
    <mergeCell ref="I18:P18"/>
    <mergeCell ref="I17:P17"/>
    <mergeCell ref="Q19:T19"/>
    <mergeCell ref="V19:Y19"/>
    <mergeCell ref="Q18:T18"/>
    <mergeCell ref="V18:Y18"/>
    <mergeCell ref="O41:AB41"/>
    <mergeCell ref="CD25:CG25"/>
    <mergeCell ref="I25:P25"/>
    <mergeCell ref="V25:Y25"/>
    <mergeCell ref="K26:AD26"/>
    <mergeCell ref="H35:M35"/>
    <mergeCell ref="O35:AB35"/>
    <mergeCell ref="BA35:BM35"/>
    <mergeCell ref="CI18:CL18"/>
    <mergeCell ref="BJ18:BM18"/>
    <mergeCell ref="AU18:AX18"/>
    <mergeCell ref="CI20:CL20"/>
    <mergeCell ref="CD19:CG19"/>
    <mergeCell ref="CI19:CL19"/>
    <mergeCell ref="BJ19:BM19"/>
    <mergeCell ref="AU20:AX20"/>
    <mergeCell ref="CD20:CG20"/>
    <mergeCell ref="CD18:CG18"/>
    <mergeCell ref="AZ18:BC18"/>
    <mergeCell ref="AZ19:BC19"/>
    <mergeCell ref="AU19:AX19"/>
    <mergeCell ref="AZ20:BC20"/>
    <mergeCell ref="BJ20:BM20"/>
    <mergeCell ref="BE18:BH18"/>
    <mergeCell ref="AD45:AY45"/>
    <mergeCell ref="BA42:BM42"/>
    <mergeCell ref="BA45:BM45"/>
    <mergeCell ref="AD44:AY44"/>
    <mergeCell ref="BA44:BM44"/>
    <mergeCell ref="O42:AB42"/>
    <mergeCell ref="O43:AB43"/>
    <mergeCell ref="BA43:BM43"/>
    <mergeCell ref="CI25:CL25"/>
    <mergeCell ref="AD41:AY41"/>
    <mergeCell ref="AD40:AY40"/>
    <mergeCell ref="AU27:AX27"/>
    <mergeCell ref="AZ27:BC27"/>
    <mergeCell ref="BJ25:BM25"/>
    <mergeCell ref="AO28:BM28"/>
    <mergeCell ref="AM25:AT25"/>
    <mergeCell ref="AU25:AX25"/>
    <mergeCell ref="AA25:AD25"/>
    <mergeCell ref="BA36:BM36"/>
    <mergeCell ref="BA37:BM37"/>
    <mergeCell ref="BA38:BM38"/>
    <mergeCell ref="BA39:BM39"/>
    <mergeCell ref="BA40:BM40"/>
    <mergeCell ref="BA41:BM41"/>
    <mergeCell ref="H36:M36"/>
    <mergeCell ref="O36:AB36"/>
    <mergeCell ref="O37:AB37"/>
    <mergeCell ref="AD35:AY35"/>
    <mergeCell ref="AD36:AY36"/>
    <mergeCell ref="AD37:AY37"/>
    <mergeCell ref="H38:M38"/>
    <mergeCell ref="H45:M45"/>
    <mergeCell ref="H44:M44"/>
    <mergeCell ref="H43:M43"/>
    <mergeCell ref="H42:M42"/>
    <mergeCell ref="O44:AB44"/>
    <mergeCell ref="AD42:AY42"/>
    <mergeCell ref="AD43:AY43"/>
    <mergeCell ref="O38:AB38"/>
    <mergeCell ref="O39:AB39"/>
    <mergeCell ref="O40:AB40"/>
    <mergeCell ref="AD39:AY39"/>
    <mergeCell ref="AD38:AY38"/>
    <mergeCell ref="H37:M37"/>
    <mergeCell ref="H41:M41"/>
    <mergeCell ref="H40:M40"/>
    <mergeCell ref="H39:M39"/>
    <mergeCell ref="O45:AB45"/>
    <mergeCell ref="AO29:BM29"/>
    <mergeCell ref="Q23:T23"/>
    <mergeCell ref="V23:Y23"/>
    <mergeCell ref="AM23:AT23"/>
    <mergeCell ref="BE22:BH22"/>
    <mergeCell ref="BE25:BH25"/>
    <mergeCell ref="AU23:AX23"/>
    <mergeCell ref="AZ23:BC23"/>
    <mergeCell ref="BE23:BH23"/>
    <mergeCell ref="BJ23:BM23"/>
    <mergeCell ref="AZ22:BC22"/>
    <mergeCell ref="Q22:T22"/>
    <mergeCell ref="AA22:AD22"/>
    <mergeCell ref="V22:Y22"/>
    <mergeCell ref="AZ25:BC25"/>
    <mergeCell ref="BJ22:BM22"/>
    <mergeCell ref="BJ27:BM27"/>
    <mergeCell ref="AN22:AT22"/>
    <mergeCell ref="AJ27:AT27"/>
    <mergeCell ref="BE27:BH27"/>
    <mergeCell ref="I26:J26"/>
    <mergeCell ref="Q25:T25"/>
    <mergeCell ref="J22:P22"/>
    <mergeCell ref="AA23:AD23"/>
    <mergeCell ref="AF22:AI22"/>
    <mergeCell ref="AF25:AI25"/>
    <mergeCell ref="AF23:AI23"/>
    <mergeCell ref="AU22:AX22"/>
    <mergeCell ref="I23:P23"/>
  </mergeCells>
  <phoneticPr fontId="26" type="noConversion"/>
  <conditionalFormatting sqref="AO28:BD28 K26:AE26">
    <cfRule type="expression" dxfId="36" priority="29">
      <formula>I26=N.D.</formula>
    </cfRule>
  </conditionalFormatting>
  <conditionalFormatting sqref="AO29:BD29">
    <cfRule type="expression" dxfId="35" priority="28">
      <formula>AM29=N.A.</formula>
    </cfRule>
  </conditionalFormatting>
  <conditionalFormatting sqref="U5 S11">
    <cfRule type="notContainsBlanks" dxfId="34" priority="65">
      <formula>LEN(TRIM(S5))&gt;0</formula>
    </cfRule>
  </conditionalFormatting>
  <conditionalFormatting sqref="AN28">
    <cfRule type="expression" dxfId="33" priority="143">
      <formula>$S$11&lt;&gt;menu_outil</formula>
    </cfRule>
  </conditionalFormatting>
  <conditionalFormatting sqref="AU27:BC27 BI27">
    <cfRule type="expression" dxfId="32" priority="144">
      <formula>$S$11=menu_outil</formula>
    </cfRule>
  </conditionalFormatting>
  <conditionalFormatting sqref="AU17:AX17 AZ17:BC17 AU19:AX22 AZ19:BC22">
    <cfRule type="expression" dxfId="31" priority="146" stopIfTrue="1">
      <formula>LEN(TRIM(AU17))&gt;0</formula>
    </cfRule>
    <cfRule type="expression" dxfId="30" priority="147" stopIfTrue="1">
      <formula>$S$11=menu_outil</formula>
    </cfRule>
  </conditionalFormatting>
  <conditionalFormatting sqref="AU17:AX17">
    <cfRule type="expression" dxfId="29" priority="154" stopIfTrue="1">
      <formula>$S$11=menu_outil</formula>
    </cfRule>
  </conditionalFormatting>
  <conditionalFormatting sqref="AF26:AG26 BE28:BF28">
    <cfRule type="expression" dxfId="28" priority="1162">
      <formula>AC26=N.D.</formula>
    </cfRule>
  </conditionalFormatting>
  <conditionalFormatting sqref="AH26 BG28">
    <cfRule type="expression" dxfId="27" priority="1164">
      <formula>AD26=N.D.</formula>
    </cfRule>
  </conditionalFormatting>
  <conditionalFormatting sqref="BE29:BF29">
    <cfRule type="expression" dxfId="26" priority="1168">
      <formula>BB29=N.A.</formula>
    </cfRule>
  </conditionalFormatting>
  <conditionalFormatting sqref="AI26 BH28">
    <cfRule type="expression" dxfId="25" priority="1177">
      <formula>AD26=N.D.</formula>
    </cfRule>
  </conditionalFormatting>
  <conditionalFormatting sqref="BH29">
    <cfRule type="expression" dxfId="24" priority="1183">
      <formula>BC29=N.A.</formula>
    </cfRule>
  </conditionalFormatting>
  <conditionalFormatting sqref="BG29">
    <cfRule type="expression" dxfId="23" priority="1190">
      <formula>BC29=N.A.</formula>
    </cfRule>
  </conditionalFormatting>
  <conditionalFormatting sqref="BI28:BM28">
    <cfRule type="expression" dxfId="22" priority="1191">
      <formula>BB28=N.D.</formula>
    </cfRule>
  </conditionalFormatting>
  <conditionalFormatting sqref="BI29:BM29">
    <cfRule type="expression" dxfId="21" priority="1192">
      <formula>BB29=N.A.</formula>
    </cfRule>
  </conditionalFormatting>
  <conditionalFormatting sqref="AZ23:BC23">
    <cfRule type="expression" dxfId="20" priority="19" stopIfTrue="1">
      <formula>LEN(TRIM(AZ23))&gt;0</formula>
    </cfRule>
    <cfRule type="expression" dxfId="19" priority="20" stopIfTrue="1">
      <formula>$S$11=menu_outil</formula>
    </cfRule>
  </conditionalFormatting>
  <conditionalFormatting sqref="BJ27:BM27">
    <cfRule type="expression" dxfId="18" priority="8">
      <formula>$S$11=menu_outil</formula>
    </cfRule>
  </conditionalFormatting>
  <conditionalFormatting sqref="BE23:BH23">
    <cfRule type="expression" dxfId="17" priority="6" stopIfTrue="1">
      <formula>LEN(TRIM(BE23))&gt;0</formula>
    </cfRule>
    <cfRule type="expression" dxfId="16" priority="7" stopIfTrue="1">
      <formula>$S$11=menu_outil</formula>
    </cfRule>
  </conditionalFormatting>
  <conditionalFormatting sqref="BE27:BH27">
    <cfRule type="expression" dxfId="15" priority="5">
      <formula>$S$11=menu_outil</formula>
    </cfRule>
  </conditionalFormatting>
  <conditionalFormatting sqref="BE17:BH17">
    <cfRule type="expression" dxfId="14" priority="3" stopIfTrue="1">
      <formula>LEN(TRIM(BE17))&gt;0</formula>
    </cfRule>
    <cfRule type="expression" dxfId="13" priority="4" stopIfTrue="1">
      <formula>$S$11=menu_outil</formula>
    </cfRule>
  </conditionalFormatting>
  <conditionalFormatting sqref="BE19:BH22">
    <cfRule type="expression" dxfId="12" priority="1" stopIfTrue="1">
      <formula>LEN(TRIM(BE19))&gt;0</formula>
    </cfRule>
    <cfRule type="expression" dxfId="11" priority="2" stopIfTrue="1">
      <formula>$S$11=menu_outil</formula>
    </cfRule>
  </conditionalFormatting>
  <dataValidations count="2">
    <dataValidation type="decimal" operator="greaterThan" allowBlank="1" showInputMessage="1" showErrorMessage="1" errorTitle="Donnée non valide" error="Votre saisie doit répondre aux conditions suivantes : _x000a_- Être un chiffre_x000a_- Être supérieur ou égal à zéro_x000a_- Ne pas contenir d'unité" sqref="U5:Z5 AU17:AX17 AZ19:BD22 AU19:AX22 AZ17:BD17" xr:uid="{00000000-0002-0000-0500-000000000000}">
      <formula1>-1</formula1>
    </dataValidation>
    <dataValidation type="list" allowBlank="1" showInputMessage="1" showErrorMessage="1" sqref="S11" xr:uid="{00000000-0002-0000-0500-000001000000}">
      <formula1>deroulant_outil_utilisateur</formula1>
    </dataValidation>
  </dataValidations>
  <hyperlinks>
    <hyperlink ref="AA5:AB5" r:id="rId1" display="lien" xr:uid="{00000000-0004-0000-0500-000001000000}"/>
  </hyperlinks>
  <printOptions horizontalCentered="1"/>
  <pageMargins left="0.39370078740157483" right="0.39370078740157483" top="0.39370078740157483" bottom="0.39370078740157483" header="0.31496062992125984" footer="0.31496062992125984"/>
  <pageSetup scale="80" fitToHeight="0" orientation="landscape" r:id="rId2"/>
  <rowBreaks count="1" manualBreakCount="1">
    <brk id="32" min="5" max="56" man="1"/>
  </rowBreaks>
  <colBreaks count="1" manualBreakCount="1">
    <brk id="6" min="1" max="56" man="1"/>
  </col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indexed="52"/>
    <outlinePr summaryBelow="0"/>
    <pageSetUpPr fitToPage="1"/>
  </sheetPr>
  <dimension ref="B1:AV33"/>
  <sheetViews>
    <sheetView showGridLines="0" showRowColHeaders="0" topLeftCell="A11" workbookViewId="0">
      <selection activeCell="A11" sqref="A11"/>
    </sheetView>
  </sheetViews>
  <sheetFormatPr baseColWidth="10" defaultColWidth="3.140625" defaultRowHeight="15" x14ac:dyDescent="0.25"/>
  <cols>
    <col min="1" max="1" width="1.42578125" style="5" customWidth="1"/>
    <col min="2" max="2" width="1" style="5" customWidth="1"/>
    <col min="3" max="3" width="3.140625" style="5"/>
    <col min="4" max="4" width="4.7109375" style="5" bestFit="1" customWidth="1"/>
    <col min="5" max="5" width="3.140625" style="5" customWidth="1"/>
    <col min="6" max="14" width="3.140625" style="5"/>
    <col min="15" max="27" width="3.42578125" style="5" customWidth="1"/>
    <col min="28" max="28" width="4.140625" style="5" customWidth="1"/>
    <col min="29" max="33" width="3.42578125" style="5" customWidth="1"/>
    <col min="34" max="34" width="3.140625" style="5"/>
    <col min="35" max="35" width="1" style="5" customWidth="1"/>
    <col min="36" max="36" width="3.140625" style="5" customWidth="1"/>
    <col min="37" max="37" width="7.7109375" style="5" hidden="1" customWidth="1"/>
    <col min="38" max="41" width="3.140625" style="5" hidden="1" customWidth="1"/>
    <col min="42" max="42" width="3" style="5" hidden="1" customWidth="1"/>
    <col min="43" max="45" width="3.140625" style="5" hidden="1" customWidth="1"/>
    <col min="46" max="46" width="9.85546875" style="5" hidden="1" customWidth="1"/>
    <col min="47" max="47" width="16" style="5" hidden="1" customWidth="1"/>
    <col min="48" max="48" width="3.140625" style="5" hidden="1" customWidth="1"/>
    <col min="49" max="291" width="3.140625" style="5" customWidth="1"/>
    <col min="292" max="16384" width="3.140625" style="5"/>
  </cols>
  <sheetData>
    <row r="1" spans="2:47" ht="21.75" hidden="1" customHeight="1" x14ac:dyDescent="0.25"/>
    <row r="2" spans="2:47" hidden="1" x14ac:dyDescent="0.25"/>
    <row r="3" spans="2:47" ht="30" hidden="1" customHeight="1" x14ac:dyDescent="0.35">
      <c r="B3" s="9"/>
      <c r="C3" s="37" t="s">
        <v>281</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2:47" ht="6.75" hidden="1" customHeight="1" x14ac:dyDescent="0.35">
      <c r="B4" s="9"/>
      <c r="AI4" s="9"/>
    </row>
    <row r="5" spans="2:47" ht="23.25" hidden="1" x14ac:dyDescent="0.35">
      <c r="B5" s="9"/>
      <c r="C5" s="938" t="s">
        <v>282</v>
      </c>
      <c r="D5" s="938"/>
      <c r="E5" s="938"/>
      <c r="F5" s="938"/>
      <c r="G5" s="938"/>
      <c r="H5" s="938"/>
      <c r="I5" s="938"/>
      <c r="O5" s="1167">
        <f>gen_MRC</f>
        <v>0</v>
      </c>
      <c r="P5" s="1167"/>
      <c r="Q5" s="1167"/>
      <c r="R5" s="1167"/>
      <c r="S5" s="1167"/>
      <c r="T5" s="1167"/>
      <c r="U5" s="1167"/>
      <c r="V5" s="1167"/>
      <c r="W5" s="1167"/>
      <c r="X5" s="1167"/>
      <c r="Y5" s="1167"/>
      <c r="Z5" s="1167"/>
      <c r="AA5" s="1167"/>
      <c r="AB5" s="1167"/>
      <c r="AC5" s="1167"/>
      <c r="AD5" s="1167"/>
      <c r="AE5" s="1167"/>
      <c r="AI5" s="9"/>
    </row>
    <row r="6" spans="2:47" ht="8.25" hidden="1" customHeight="1" x14ac:dyDescent="0.35">
      <c r="B6" s="9"/>
      <c r="C6" s="59"/>
      <c r="D6" s="59"/>
      <c r="E6" s="59"/>
      <c r="F6" s="59"/>
      <c r="G6" s="59"/>
      <c r="H6" s="59"/>
      <c r="I6" s="59"/>
      <c r="AI6" s="9"/>
    </row>
    <row r="7" spans="2:47" ht="23.25" hidden="1" x14ac:dyDescent="0.35">
      <c r="B7" s="9"/>
      <c r="C7" s="938" t="s">
        <v>283</v>
      </c>
      <c r="D7" s="938"/>
      <c r="E7" s="938"/>
      <c r="F7" s="938"/>
      <c r="G7" s="938"/>
      <c r="H7" s="938"/>
      <c r="I7" s="938"/>
      <c r="J7" s="938"/>
      <c r="K7" s="938"/>
      <c r="L7" s="938"/>
      <c r="M7" s="938"/>
      <c r="N7" s="938"/>
      <c r="O7" s="1168" t="e">
        <f>IF(gen_delegation="oui","La MRC",gen_competente)</f>
        <v>#NAME?</v>
      </c>
      <c r="P7" s="1168"/>
      <c r="Q7" s="1168"/>
      <c r="R7" s="1168"/>
      <c r="S7" s="1168"/>
      <c r="T7" s="1168"/>
      <c r="U7" s="1168"/>
      <c r="V7" s="1168"/>
      <c r="W7" s="1168"/>
      <c r="X7" s="1168"/>
      <c r="Y7" s="1168"/>
      <c r="Z7" s="1168"/>
      <c r="AA7" s="1168"/>
      <c r="AB7" s="1168"/>
      <c r="AC7" s="1168"/>
      <c r="AD7" s="1168"/>
      <c r="AE7" s="1168"/>
      <c r="AI7" s="9"/>
    </row>
    <row r="8" spans="2:47" ht="23.25" hidden="1" x14ac:dyDescent="0.35">
      <c r="B8" s="9"/>
      <c r="C8" s="38">
        <v>1</v>
      </c>
      <c r="D8" s="59"/>
      <c r="E8" s="59"/>
      <c r="F8" s="59"/>
      <c r="G8" s="59"/>
      <c r="H8" s="59"/>
      <c r="I8" s="59"/>
      <c r="J8" s="59"/>
      <c r="K8" s="59"/>
      <c r="L8" s="59"/>
      <c r="M8" s="59"/>
      <c r="N8" s="59"/>
      <c r="AI8" s="9"/>
    </row>
    <row r="9" spans="2:47" ht="5.25" hidden="1" customHeight="1" x14ac:dyDescent="0.35">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2:47" ht="21" hidden="1" x14ac:dyDescent="0.25">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row>
    <row r="12" spans="2:47" ht="30" customHeight="1" x14ac:dyDescent="0.35">
      <c r="B12" s="39"/>
      <c r="C12" s="207" t="str">
        <f>"Secteur CRD - Résultats - "&amp;gen_MRC</f>
        <v xml:space="preserve">Secteur CRD - Résultats - </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273" t="str">
        <f>"Version "&amp;Paramètres!$G$3</f>
        <v>Version 2022</v>
      </c>
      <c r="AI12" s="39"/>
      <c r="AT12" s="93"/>
    </row>
    <row r="13" spans="2:47" ht="6" customHeight="1" x14ac:dyDescent="0.35">
      <c r="B13" s="39"/>
      <c r="AI13" s="39"/>
    </row>
    <row r="14" spans="2:47" ht="35.25" customHeight="1" x14ac:dyDescent="0.35">
      <c r="B14" s="39"/>
      <c r="D14" s="972" t="str">
        <f>IF(crd_utiliser_donnees=menu_utilisateur,AU14&amp;retour&amp;utilisateur,AU14&amp;retour&amp;outil)</f>
        <v>RÉSIDUS DE CRD
    (Données de l'outil)</v>
      </c>
      <c r="E14" s="972"/>
      <c r="F14" s="972"/>
      <c r="G14" s="972"/>
      <c r="H14" s="972"/>
      <c r="I14" s="972"/>
      <c r="J14" s="972"/>
      <c r="K14" s="972"/>
      <c r="L14" s="972"/>
      <c r="M14" s="972"/>
      <c r="N14" s="972"/>
      <c r="O14" s="971" t="str">
        <f>IF(AND('Données - CRD'!U5="",OR(crd_utiliser_donnees=menu_outil,crd_utiliser_donnees="")),erreur2&amp;'Données - CRD'!I5,IF(crd_utiliser_donnees="",erreur2&amp;'Données - CRD'!I8,IF(crd_utiliser_donnees=menu_utilisateur,IF('Données - CRD'!AM26="vide",erreur2&amp;'Données - CRD'!I8,""),IF('Données - CRD'!I26=N.D.,erreur2&amp;'Données - CRD'!I8,""))))</f>
        <v>Les données ci-dessous ne peuvent pas être complétées. Vérifiez la réponse à la question 4.1.</v>
      </c>
      <c r="P14" s="971"/>
      <c r="Q14" s="971"/>
      <c r="R14" s="971"/>
      <c r="S14" s="971"/>
      <c r="T14" s="971"/>
      <c r="U14" s="971"/>
      <c r="V14" s="971"/>
      <c r="W14" s="971"/>
      <c r="X14" s="971"/>
      <c r="Y14" s="971"/>
      <c r="Z14" s="971"/>
      <c r="AA14" s="971"/>
      <c r="AB14" s="971"/>
      <c r="AC14" s="971"/>
      <c r="AD14" s="971"/>
      <c r="AE14" s="971"/>
      <c r="AF14" s="971"/>
      <c r="AG14" s="971"/>
      <c r="AI14" s="39"/>
      <c r="AU14" s="89" t="str">
        <f>UPPER('Données - CRD'!J8)</f>
        <v>RÉSIDUS DE CRD</v>
      </c>
    </row>
    <row r="15" spans="2:47" ht="6.75" customHeight="1" x14ac:dyDescent="0.35">
      <c r="B15" s="39"/>
      <c r="D15" s="41"/>
      <c r="E15" s="41"/>
      <c r="F15" s="41"/>
      <c r="G15" s="41"/>
      <c r="H15" s="41"/>
      <c r="I15" s="69"/>
      <c r="J15" s="69"/>
      <c r="K15" s="69"/>
      <c r="L15" s="69"/>
      <c r="M15" s="69"/>
      <c r="N15" s="69"/>
      <c r="O15" s="60"/>
      <c r="P15" s="60"/>
      <c r="Q15" s="60"/>
      <c r="R15" s="60"/>
      <c r="S15" s="60"/>
      <c r="T15" s="60"/>
      <c r="U15" s="60"/>
      <c r="V15" s="60"/>
      <c r="W15" s="60"/>
      <c r="X15" s="60"/>
      <c r="Y15" s="60"/>
      <c r="Z15" s="60"/>
      <c r="AA15" s="60"/>
      <c r="AB15" s="60"/>
      <c r="AC15" s="60"/>
      <c r="AD15" s="60"/>
      <c r="AE15" s="60"/>
      <c r="AF15" s="60"/>
      <c r="AG15" s="60"/>
      <c r="AI15" s="39"/>
    </row>
    <row r="16" spans="2:47" ht="12.75" customHeight="1" x14ac:dyDescent="0.35">
      <c r="B16" s="39"/>
      <c r="D16" s="43"/>
      <c r="O16" s="715" t="str">
        <f>'Données - CRD'!Q16</f>
        <v>Récupéré (t)</v>
      </c>
      <c r="P16" s="715"/>
      <c r="Q16" s="715"/>
      <c r="R16" s="715"/>
      <c r="T16" s="715" t="str">
        <f>'Données - CRD'!V16</f>
        <v>Éliminé (t)</v>
      </c>
      <c r="U16" s="715"/>
      <c r="V16" s="715"/>
      <c r="W16" s="715"/>
      <c r="X16" s="4"/>
      <c r="Y16" s="1197" t="str">
        <f>'Données - CRD'!AA16</f>
        <v>Usages en lieu d'enfouissement (t)</v>
      </c>
      <c r="Z16" s="1197"/>
      <c r="AA16" s="1197"/>
      <c r="AB16" s="1197"/>
      <c r="AD16" s="715" t="str">
        <f>'Données - CRD'!AF16</f>
        <v>Généré (t)</v>
      </c>
      <c r="AE16" s="715"/>
      <c r="AF16" s="715"/>
      <c r="AG16" s="715"/>
      <c r="AI16" s="39"/>
    </row>
    <row r="17" spans="2:40" ht="38.25" customHeight="1" x14ac:dyDescent="0.35">
      <c r="B17" s="39"/>
      <c r="D17" s="26"/>
      <c r="O17" s="715"/>
      <c r="P17" s="715"/>
      <c r="Q17" s="715"/>
      <c r="R17" s="715"/>
      <c r="T17" s="715"/>
      <c r="U17" s="715"/>
      <c r="V17" s="715"/>
      <c r="W17" s="715"/>
      <c r="X17" s="4"/>
      <c r="Y17" s="1197"/>
      <c r="Z17" s="1197"/>
      <c r="AA17" s="1197"/>
      <c r="AB17" s="1197"/>
      <c r="AD17" s="715"/>
      <c r="AE17" s="715"/>
      <c r="AF17" s="715"/>
      <c r="AG17" s="715"/>
      <c r="AH17" s="26"/>
      <c r="AI17" s="39"/>
    </row>
    <row r="18" spans="2:40" ht="3.75" customHeight="1" x14ac:dyDescent="0.35">
      <c r="B18" s="39"/>
      <c r="D18" s="26"/>
      <c r="O18" s="4"/>
      <c r="P18" s="4"/>
      <c r="Q18" s="4"/>
      <c r="R18" s="4"/>
      <c r="T18" s="4"/>
      <c r="U18" s="4"/>
      <c r="V18" s="4"/>
      <c r="W18" s="4"/>
      <c r="X18" s="4"/>
      <c r="Y18" s="4"/>
      <c r="Z18" s="4"/>
      <c r="AA18" s="4"/>
      <c r="AB18" s="4"/>
      <c r="AD18" s="4"/>
      <c r="AE18" s="4"/>
      <c r="AF18" s="4"/>
      <c r="AG18" s="4"/>
      <c r="AH18" s="26"/>
      <c r="AI18" s="39"/>
    </row>
    <row r="19" spans="2:40" ht="22.5" customHeight="1" x14ac:dyDescent="0.35">
      <c r="B19" s="39"/>
      <c r="D19" s="46" t="str">
        <f>'Données - CRD'!I17</f>
        <v>Agrégats</v>
      </c>
      <c r="E19" s="42"/>
      <c r="F19" s="42"/>
      <c r="G19" s="42"/>
      <c r="H19" s="42"/>
      <c r="I19" s="42"/>
      <c r="J19" s="42"/>
      <c r="K19" s="42"/>
      <c r="L19" s="42"/>
      <c r="M19" s="42"/>
      <c r="N19" s="42"/>
      <c r="O19" s="996" t="str">
        <f>crd_tonne_R_agregats</f>
        <v>N.D.</v>
      </c>
      <c r="P19" s="996"/>
      <c r="Q19" s="996"/>
      <c r="R19" s="996"/>
      <c r="S19" s="79"/>
      <c r="T19" s="996" t="str">
        <f>crd_tonne_E_agregats</f>
        <v>N.D.</v>
      </c>
      <c r="U19" s="996"/>
      <c r="V19" s="996"/>
      <c r="W19" s="996"/>
      <c r="X19" s="607"/>
      <c r="Y19" s="996" t="str">
        <f>crd_tonne_E_usagesLET_A</f>
        <v>N.A.</v>
      </c>
      <c r="Z19" s="996"/>
      <c r="AA19" s="996"/>
      <c r="AB19" s="996"/>
      <c r="AC19" s="79"/>
      <c r="AD19" s="996" t="str">
        <f t="shared" ref="AD19:AD25" si="0">IF(OR(O19=N.D.,T19=N.D.,Y19=N.D.),N.D.,SUM(O19,T19,Y19))</f>
        <v>N.D.</v>
      </c>
      <c r="AE19" s="996"/>
      <c r="AF19" s="996"/>
      <c r="AG19" s="996"/>
      <c r="AH19" s="47"/>
      <c r="AI19" s="39"/>
    </row>
    <row r="20" spans="2:40" ht="22.5" customHeight="1" x14ac:dyDescent="0.35">
      <c r="B20" s="39"/>
      <c r="D20" s="46" t="str">
        <f>'Données - CRD'!I18</f>
        <v xml:space="preserve">Non-agrégats : </v>
      </c>
      <c r="E20" s="42"/>
      <c r="F20" s="42"/>
      <c r="G20" s="42"/>
      <c r="H20" s="42"/>
      <c r="I20" s="42"/>
      <c r="J20" s="42"/>
      <c r="K20" s="42"/>
      <c r="L20" s="42"/>
      <c r="M20" s="42"/>
      <c r="N20" s="42"/>
      <c r="O20" s="974" t="str">
        <f>IF(COUNTIF(O21:O24,N.D.)&gt;0,N.D.,SUM(O21:O24))</f>
        <v>N.D.</v>
      </c>
      <c r="P20" s="974"/>
      <c r="Q20" s="974"/>
      <c r="R20" s="974"/>
      <c r="S20" s="79"/>
      <c r="T20" s="974" t="str">
        <f>IF(COUNTIF(T21:T24,N.D.)&gt;0,N.D.,SUM(T21:T24))</f>
        <v>N.D.</v>
      </c>
      <c r="U20" s="974"/>
      <c r="V20" s="974"/>
      <c r="W20" s="974"/>
      <c r="X20" s="607"/>
      <c r="Y20" s="974" t="str">
        <f>IF(COUNTIF(Y21:Y24,N.A.)&gt;0,N.A.,SUM(Y21:Y24))</f>
        <v>N.A.</v>
      </c>
      <c r="Z20" s="974"/>
      <c r="AA20" s="974"/>
      <c r="AB20" s="974"/>
      <c r="AC20" s="79"/>
      <c r="AD20" s="996" t="str">
        <f t="shared" si="0"/>
        <v>N.D.</v>
      </c>
      <c r="AE20" s="996"/>
      <c r="AF20" s="996"/>
      <c r="AG20" s="996"/>
      <c r="AH20" s="47"/>
      <c r="AI20" s="39"/>
    </row>
    <row r="21" spans="2:40" ht="22.5" customHeight="1" x14ac:dyDescent="0.35">
      <c r="B21" s="39"/>
      <c r="D21" s="16" t="str">
        <f>puce1</f>
        <v>Ä</v>
      </c>
      <c r="E21" s="46" t="str">
        <f>'Données - CRD'!J19</f>
        <v>Bois de construction</v>
      </c>
      <c r="F21" s="42"/>
      <c r="G21" s="42"/>
      <c r="H21" s="42"/>
      <c r="I21" s="42"/>
      <c r="J21" s="42"/>
      <c r="K21" s="42"/>
      <c r="L21" s="42"/>
      <c r="M21" s="42"/>
      <c r="N21" s="42"/>
      <c r="O21" s="977" t="str">
        <f>crd_tonne_R_NA_bois</f>
        <v>N.D.</v>
      </c>
      <c r="P21" s="977"/>
      <c r="Q21" s="977"/>
      <c r="R21" s="977"/>
      <c r="S21" s="80"/>
      <c r="T21" s="977" t="str">
        <f>crd_tonne_E_NA_bois</f>
        <v>N.D.</v>
      </c>
      <c r="U21" s="977"/>
      <c r="V21" s="977"/>
      <c r="W21" s="977"/>
      <c r="X21" s="608"/>
      <c r="Y21" s="977" t="str">
        <f>crd_tonne_E_usagesLET_Bois</f>
        <v>N.A.</v>
      </c>
      <c r="Z21" s="977"/>
      <c r="AA21" s="977"/>
      <c r="AB21" s="977"/>
      <c r="AC21" s="80"/>
      <c r="AD21" s="996" t="str">
        <f t="shared" si="0"/>
        <v>N.D.</v>
      </c>
      <c r="AE21" s="996"/>
      <c r="AF21" s="996"/>
      <c r="AG21" s="996"/>
      <c r="AI21" s="39"/>
    </row>
    <row r="22" spans="2:40" ht="22.5" customHeight="1" x14ac:dyDescent="0.35">
      <c r="B22" s="39"/>
      <c r="D22" s="16" t="str">
        <f>puce1</f>
        <v>Ä</v>
      </c>
      <c r="E22" s="46" t="str">
        <f>'Données - CRD'!J20</f>
        <v>Gypse</v>
      </c>
      <c r="F22" s="42"/>
      <c r="G22" s="42"/>
      <c r="H22" s="42"/>
      <c r="I22" s="42"/>
      <c r="J22" s="42"/>
      <c r="K22" s="42"/>
      <c r="L22" s="42"/>
      <c r="M22" s="42"/>
      <c r="N22" s="42"/>
      <c r="O22" s="977" t="str">
        <f>crd_tonne_R_NA_gypse</f>
        <v>N.D.</v>
      </c>
      <c r="P22" s="977"/>
      <c r="Q22" s="977"/>
      <c r="R22" s="977"/>
      <c r="S22" s="80"/>
      <c r="T22" s="977" t="str">
        <f>crd_tonne_E_NA_gypse</f>
        <v>N.D.</v>
      </c>
      <c r="U22" s="977"/>
      <c r="V22" s="977"/>
      <c r="W22" s="977"/>
      <c r="X22" s="608"/>
      <c r="Y22" s="977" t="str">
        <f>crd_tonne_E_usagesLET_G</f>
        <v>N.A.</v>
      </c>
      <c r="Z22" s="977"/>
      <c r="AA22" s="977"/>
      <c r="AB22" s="977"/>
      <c r="AC22" s="80"/>
      <c r="AD22" s="996" t="str">
        <f t="shared" si="0"/>
        <v>N.D.</v>
      </c>
      <c r="AE22" s="996"/>
      <c r="AF22" s="996"/>
      <c r="AG22" s="996"/>
      <c r="AI22" s="39"/>
    </row>
    <row r="23" spans="2:40" ht="22.5" customHeight="1" x14ac:dyDescent="0.35">
      <c r="B23" s="39"/>
      <c r="D23" s="16" t="str">
        <f>puce1</f>
        <v>Ä</v>
      </c>
      <c r="E23" s="46" t="str">
        <f>'Données - CRD'!J21</f>
        <v>Bardeaux d'asphalte</v>
      </c>
      <c r="F23" s="42"/>
      <c r="G23" s="42"/>
      <c r="H23" s="42"/>
      <c r="I23" s="42"/>
      <c r="J23" s="42"/>
      <c r="K23" s="42"/>
      <c r="L23" s="42"/>
      <c r="M23" s="42"/>
      <c r="N23" s="42"/>
      <c r="O23" s="977" t="str">
        <f>crd_tonne_R_NA_bardeau</f>
        <v>N.D.</v>
      </c>
      <c r="P23" s="977"/>
      <c r="Q23" s="977"/>
      <c r="R23" s="977"/>
      <c r="S23" s="80"/>
      <c r="T23" s="977" t="str">
        <f>crd_tonne_E_NA_bardeau</f>
        <v>N.D.</v>
      </c>
      <c r="U23" s="977"/>
      <c r="V23" s="977"/>
      <c r="W23" s="977"/>
      <c r="X23" s="608"/>
      <c r="Y23" s="977" t="str">
        <f>crd_tonne_E_usagesLET_B</f>
        <v>N.A.</v>
      </c>
      <c r="Z23" s="977"/>
      <c r="AA23" s="977"/>
      <c r="AB23" s="977"/>
      <c r="AC23" s="80"/>
      <c r="AD23" s="996" t="str">
        <f t="shared" si="0"/>
        <v>N.D.</v>
      </c>
      <c r="AE23" s="996"/>
      <c r="AF23" s="996"/>
      <c r="AG23" s="996"/>
      <c r="AI23" s="39"/>
    </row>
    <row r="24" spans="2:40" ht="22.5" customHeight="1" x14ac:dyDescent="0.35">
      <c r="B24" s="39"/>
      <c r="D24" s="16" t="str">
        <f>puce1</f>
        <v>Ä</v>
      </c>
      <c r="E24" s="46" t="str">
        <f>'Données - CRD'!J22</f>
        <v>Autres</v>
      </c>
      <c r="F24" s="42"/>
      <c r="G24" s="42"/>
      <c r="H24" s="42"/>
      <c r="I24" s="42"/>
      <c r="J24" s="42"/>
      <c r="K24" s="42"/>
      <c r="L24" s="42"/>
      <c r="M24" s="42"/>
      <c r="N24" s="42"/>
      <c r="O24" s="977" t="str">
        <f>crd_tonne_R_NA_autres</f>
        <v>N.D.</v>
      </c>
      <c r="P24" s="977"/>
      <c r="Q24" s="977"/>
      <c r="R24" s="977"/>
      <c r="S24" s="80"/>
      <c r="T24" s="977" t="str">
        <f>crd_tonne_E_NA_autres</f>
        <v>N.D.</v>
      </c>
      <c r="U24" s="977"/>
      <c r="V24" s="977"/>
      <c r="W24" s="977"/>
      <c r="X24" s="608"/>
      <c r="Y24" s="977" t="str">
        <f>crd_tonne_E_usagesLET_Autres</f>
        <v>N.A.</v>
      </c>
      <c r="Z24" s="977"/>
      <c r="AA24" s="977"/>
      <c r="AB24" s="977"/>
      <c r="AC24" s="80"/>
      <c r="AD24" s="996" t="str">
        <f t="shared" si="0"/>
        <v>N.D.</v>
      </c>
      <c r="AE24" s="996"/>
      <c r="AF24" s="996"/>
      <c r="AG24" s="996"/>
      <c r="AI24" s="39"/>
    </row>
    <row r="25" spans="2:40" ht="22.5" customHeight="1" x14ac:dyDescent="0.35">
      <c r="B25" s="39"/>
      <c r="D25" s="16" t="str">
        <f>puce1</f>
        <v>Ä</v>
      </c>
      <c r="E25" s="48" t="s">
        <v>789</v>
      </c>
      <c r="F25" s="49"/>
      <c r="G25" s="49"/>
      <c r="H25" s="49"/>
      <c r="I25" s="49"/>
      <c r="J25" s="49"/>
      <c r="K25" s="49"/>
      <c r="L25" s="49"/>
      <c r="M25" s="49"/>
      <c r="N25" s="49"/>
      <c r="O25" s="1199" t="str">
        <f>crd_tonne_R_rejets</f>
        <v>N.A.</v>
      </c>
      <c r="P25" s="1199"/>
      <c r="Q25" s="1199"/>
      <c r="R25" s="1199"/>
      <c r="S25" s="606"/>
      <c r="T25" s="1199" t="str">
        <f>crd_tonne_E_rejets</f>
        <v>N.D.</v>
      </c>
      <c r="U25" s="1199"/>
      <c r="V25" s="1199"/>
      <c r="W25" s="1199"/>
      <c r="X25" s="609"/>
      <c r="Y25" s="1199" t="str">
        <f>crd_tonne_E_usagesLET_rejets</f>
        <v>N.D.</v>
      </c>
      <c r="Z25" s="1199"/>
      <c r="AA25" s="1199"/>
      <c r="AB25" s="1199"/>
      <c r="AC25" s="606"/>
      <c r="AD25" s="996" t="str">
        <f t="shared" si="0"/>
        <v>N.D.</v>
      </c>
      <c r="AE25" s="996"/>
      <c r="AF25" s="996"/>
      <c r="AG25" s="996"/>
      <c r="AI25" s="39"/>
    </row>
    <row r="26" spans="2:40" ht="11.25" customHeight="1" x14ac:dyDescent="0.35">
      <c r="B26" s="39"/>
      <c r="D26" s="19"/>
      <c r="E26" s="19"/>
      <c r="F26" s="19"/>
      <c r="G26" s="19"/>
      <c r="H26" s="19"/>
      <c r="I26" s="19"/>
      <c r="J26" s="19"/>
      <c r="K26" s="19"/>
      <c r="L26" s="19"/>
      <c r="M26" s="19"/>
      <c r="N26" s="19"/>
      <c r="O26" s="81"/>
      <c r="P26" s="81"/>
      <c r="Q26" s="81"/>
      <c r="R26" s="81"/>
      <c r="S26" s="81"/>
      <c r="T26" s="81"/>
      <c r="U26" s="81"/>
      <c r="V26" s="81"/>
      <c r="W26" s="81"/>
      <c r="X26" s="81"/>
      <c r="Y26" s="81"/>
      <c r="Z26" s="81"/>
      <c r="AA26" s="81"/>
      <c r="AB26" s="81"/>
      <c r="AC26" s="81"/>
      <c r="AD26" s="81"/>
      <c r="AE26" s="81"/>
      <c r="AF26" s="81"/>
      <c r="AG26" s="81"/>
      <c r="AI26" s="39"/>
    </row>
    <row r="27" spans="2:40" ht="22.5" customHeight="1" x14ac:dyDescent="0.35">
      <c r="B27" s="39"/>
      <c r="D27" s="48" t="str">
        <f>'Données - CRD'!I25</f>
        <v>Total</v>
      </c>
      <c r="E27" s="49"/>
      <c r="F27" s="49"/>
      <c r="G27" s="49"/>
      <c r="H27" s="49"/>
      <c r="I27" s="49"/>
      <c r="J27" s="49"/>
      <c r="K27" s="49"/>
      <c r="L27" s="49"/>
      <c r="M27" s="49"/>
      <c r="N27" s="49"/>
      <c r="O27" s="974" t="str">
        <f>IF(OR(O19=N.D.,O20=N.D.),N.D.,SUM(O20,O19))</f>
        <v>N.D.</v>
      </c>
      <c r="P27" s="974"/>
      <c r="Q27" s="974"/>
      <c r="R27" s="974"/>
      <c r="S27" s="82"/>
      <c r="T27" s="974" t="str">
        <f>IF(OR(T19=N.D.,T20=N.D.,T25=N.D.),N.D.,SUM(T20,T19,T25))</f>
        <v>N.D.</v>
      </c>
      <c r="U27" s="974"/>
      <c r="V27" s="974"/>
      <c r="W27" s="974"/>
      <c r="X27" s="82"/>
      <c r="Y27" s="974" t="str">
        <f>IF(OR(Y19=N.D.,Y20=N.D.,Y25=N.D.),N.D.,SUM(Y20,Y19,Y25))</f>
        <v>N.D.</v>
      </c>
      <c r="Z27" s="974"/>
      <c r="AA27" s="974"/>
      <c r="AB27" s="974"/>
      <c r="AC27" s="82"/>
      <c r="AD27" s="974" t="str">
        <f>IF(OR(O27=N.D.,T27=N.D.),N.D.,SUM(O27,T27,Y27))</f>
        <v>N.D.</v>
      </c>
      <c r="AE27" s="974"/>
      <c r="AF27" s="974"/>
      <c r="AG27" s="974"/>
      <c r="AH27" s="51"/>
      <c r="AI27" s="39"/>
    </row>
    <row r="28" spans="2:40" ht="23.25" x14ac:dyDescent="0.35">
      <c r="B28" s="39"/>
      <c r="AI28" s="39"/>
    </row>
    <row r="29" spans="2:40" ht="5.25" customHeight="1" x14ac:dyDescent="0.35">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row>
    <row r="30" spans="2:40" ht="15" customHeight="1" x14ac:dyDescent="0.25">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53"/>
      <c r="AK30" s="53"/>
      <c r="AL30" s="53"/>
      <c r="AM30" s="53"/>
      <c r="AN30" s="53"/>
    </row>
    <row r="33" spans="3:10" x14ac:dyDescent="0.25">
      <c r="C33" s="54"/>
      <c r="D33" s="54"/>
      <c r="E33" s="54"/>
      <c r="F33" s="54"/>
      <c r="G33" s="54"/>
      <c r="H33" s="54"/>
      <c r="I33" s="54"/>
      <c r="J33" s="54"/>
    </row>
  </sheetData>
  <sheetProtection algorithmName="SHA-512" hashValue="+pe5Sc4TjLUTucvuL/7KPvkCYexqHE4aYTVs6b+gMabwVAYBXsxKGfFX2chCvG1tYQalbzbwUqHFLC35+2luVQ==" saltValue="HT1UMbj9U6v7xPT3fHZxIQ==" spinCount="100000" sheet="1" objects="1" scenarios="1"/>
  <mergeCells count="42">
    <mergeCell ref="O16:R17"/>
    <mergeCell ref="AD16:AG17"/>
    <mergeCell ref="T16:W17"/>
    <mergeCell ref="O14:AG14"/>
    <mergeCell ref="T19:W19"/>
    <mergeCell ref="AD19:AG19"/>
    <mergeCell ref="O19:R19"/>
    <mergeCell ref="Y19:AB19"/>
    <mergeCell ref="Y16:AB17"/>
    <mergeCell ref="O22:R22"/>
    <mergeCell ref="T22:W22"/>
    <mergeCell ref="AD22:AG22"/>
    <mergeCell ref="T20:W20"/>
    <mergeCell ref="AD21:AG21"/>
    <mergeCell ref="O20:R20"/>
    <mergeCell ref="Y20:AB20"/>
    <mergeCell ref="Y21:AB21"/>
    <mergeCell ref="Y22:AB22"/>
    <mergeCell ref="AD20:AG20"/>
    <mergeCell ref="O21:R21"/>
    <mergeCell ref="T21:W21"/>
    <mergeCell ref="T24:W24"/>
    <mergeCell ref="AD24:AG24"/>
    <mergeCell ref="O23:R23"/>
    <mergeCell ref="T23:W23"/>
    <mergeCell ref="O27:R27"/>
    <mergeCell ref="T27:W27"/>
    <mergeCell ref="O25:R25"/>
    <mergeCell ref="T25:W25"/>
    <mergeCell ref="Y24:AB24"/>
    <mergeCell ref="Y25:AB25"/>
    <mergeCell ref="Y27:AB27"/>
    <mergeCell ref="AD25:AG25"/>
    <mergeCell ref="Y23:AB23"/>
    <mergeCell ref="AD27:AG27"/>
    <mergeCell ref="AD23:AG23"/>
    <mergeCell ref="O24:R24"/>
    <mergeCell ref="C5:I5"/>
    <mergeCell ref="O5:AE5"/>
    <mergeCell ref="C7:N7"/>
    <mergeCell ref="O7:AE7"/>
    <mergeCell ref="D14:N14"/>
  </mergeCells>
  <phoneticPr fontId="26" type="noConversion"/>
  <conditionalFormatting sqref="O14:AG15">
    <cfRule type="containsBlanks" dxfId="10" priority="8">
      <formula>LEN(TRIM(O14))=0</formula>
    </cfRule>
  </conditionalFormatting>
  <conditionalFormatting sqref="O19:O24 O27:R27 T27:W27 AD27:AG27 T19:T24 AD19:AG25">
    <cfRule type="expression" dxfId="9" priority="101">
      <formula>NOT($O$14="")</formula>
    </cfRule>
  </conditionalFormatting>
  <conditionalFormatting sqref="Y27:AB27">
    <cfRule type="expression" dxfId="8" priority="5">
      <formula>NOT($O$14="")</formula>
    </cfRule>
  </conditionalFormatting>
  <conditionalFormatting sqref="T25">
    <cfRule type="expression" dxfId="7" priority="4">
      <formula>NOT($O$14="")</formula>
    </cfRule>
  </conditionalFormatting>
  <conditionalFormatting sqref="O25">
    <cfRule type="expression" dxfId="6" priority="3">
      <formula>NOT($O$14="")</formula>
    </cfRule>
  </conditionalFormatting>
  <conditionalFormatting sqref="Y19:Y24">
    <cfRule type="expression" dxfId="5" priority="2">
      <formula>NOT($O$14="")</formula>
    </cfRule>
  </conditionalFormatting>
  <conditionalFormatting sqref="Y25">
    <cfRule type="expression" dxfId="4" priority="1">
      <formula>NOT($O$14="")</formula>
    </cfRule>
  </conditionalFormatting>
  <printOptions horizontalCentered="1"/>
  <pageMargins left="0.39370078740157483" right="0.39370078740157483" top="0.39370078740157483" bottom="0.39370078740157483" header="0.31496062992125984" footer="0.19685039370078741"/>
  <pageSetup orientation="portrait" r:id="rId1"/>
  <headerFooter>
    <oddFooter>&amp;RRésultats du secteur CRD - Page &amp;P de &amp;N</oddFooter>
  </headerFooter>
  <rowBreaks count="1" manualBreakCount="1">
    <brk id="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1:KE32"/>
  <sheetViews>
    <sheetView showGridLines="0" showRowColHeaders="0" topLeftCell="A11" workbookViewId="0">
      <selection activeCell="A11" sqref="A11"/>
    </sheetView>
  </sheetViews>
  <sheetFormatPr baseColWidth="10" defaultColWidth="3.140625" defaultRowHeight="15" x14ac:dyDescent="0.25"/>
  <cols>
    <col min="1" max="1" width="3.140625" customWidth="1"/>
    <col min="2" max="2" width="1.140625" customWidth="1"/>
    <col min="3" max="27" width="3.140625" customWidth="1"/>
    <col min="28" max="28" width="4" customWidth="1"/>
    <col min="29" max="34" width="3.140625" customWidth="1"/>
    <col min="35" max="35" width="1.140625" customWidth="1"/>
    <col min="36" max="291" width="3.140625" hidden="1" customWidth="1"/>
  </cols>
  <sheetData>
    <row r="1" spans="2:35" hidden="1" x14ac:dyDescent="0.25"/>
    <row r="2" spans="2:35" hidden="1" x14ac:dyDescent="0.25"/>
    <row r="3" spans="2:35" hidden="1" x14ac:dyDescent="0.25"/>
    <row r="4" spans="2:35" hidden="1" x14ac:dyDescent="0.25"/>
    <row r="5" spans="2:35" hidden="1" x14ac:dyDescent="0.25"/>
    <row r="6" spans="2:35" hidden="1" x14ac:dyDescent="0.25"/>
    <row r="7" spans="2:35" hidden="1" x14ac:dyDescent="0.25"/>
    <row r="8" spans="2:35" hidden="1" x14ac:dyDescent="0.25"/>
    <row r="9" spans="2:35" hidden="1" x14ac:dyDescent="0.25"/>
    <row r="10" spans="2:35" hidden="1" x14ac:dyDescent="0.25"/>
    <row r="12" spans="2:35" ht="30" customHeight="1" x14ac:dyDescent="0.25">
      <c r="B12" s="215"/>
      <c r="C12" s="216" t="str">
        <f>"Résultats globaux - "&amp;gen_MRC</f>
        <v xml:space="preserve">Résultats globaux - </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74" t="str">
        <f>"Version "&amp;Paramètres!$G$3</f>
        <v>Version 2022</v>
      </c>
      <c r="AI12" s="215"/>
    </row>
    <row r="13" spans="2:35" ht="23.25" x14ac:dyDescent="0.25">
      <c r="B13" s="21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215"/>
    </row>
    <row r="14" spans="2:35" ht="23.25" x14ac:dyDescent="0.25">
      <c r="B14" s="215"/>
      <c r="C14" s="5"/>
      <c r="D14" s="43"/>
      <c r="E14" s="5"/>
      <c r="F14" s="5"/>
      <c r="G14" s="5"/>
      <c r="H14" s="5"/>
      <c r="I14" s="5"/>
      <c r="J14" s="5"/>
      <c r="K14" s="5"/>
      <c r="L14" s="5"/>
      <c r="M14" s="5"/>
      <c r="N14" s="5"/>
      <c r="O14" s="715" t="s">
        <v>285</v>
      </c>
      <c r="P14" s="715"/>
      <c r="Q14" s="715"/>
      <c r="R14" s="715"/>
      <c r="S14" s="5"/>
      <c r="T14" s="715" t="s">
        <v>286</v>
      </c>
      <c r="U14" s="715"/>
      <c r="V14" s="715"/>
      <c r="W14" s="715"/>
      <c r="X14" s="4"/>
      <c r="Y14" s="1204" t="s">
        <v>793</v>
      </c>
      <c r="Z14" s="1204"/>
      <c r="AA14" s="1204"/>
      <c r="AB14" s="1204"/>
      <c r="AC14" s="5"/>
      <c r="AD14" s="715" t="s">
        <v>287</v>
      </c>
      <c r="AE14" s="715"/>
      <c r="AF14" s="715"/>
      <c r="AG14" s="715"/>
      <c r="AH14" s="5"/>
      <c r="AI14" s="215"/>
    </row>
    <row r="15" spans="2:35" ht="22.5" customHeight="1" x14ac:dyDescent="0.25">
      <c r="B15" s="215"/>
      <c r="C15" s="5"/>
      <c r="D15" s="992" t="s">
        <v>32</v>
      </c>
      <c r="E15" s="992"/>
      <c r="F15" s="992"/>
      <c r="G15" s="992"/>
      <c r="H15" s="992"/>
      <c r="I15" s="992"/>
      <c r="J15" s="992"/>
      <c r="K15" s="992"/>
      <c r="L15" s="992"/>
      <c r="M15" s="992"/>
      <c r="N15" s="42"/>
      <c r="O15" s="970" t="str">
        <f>IF(OR('Résultats - ICI'!O19=N.D.,'Résultats - Résidentiel'!O18=N.D.),N.D.,'Résultats - ICI'!O19+'Résultats - Résidentiel'!O18)</f>
        <v>N.D.</v>
      </c>
      <c r="P15" s="970"/>
      <c r="Q15" s="970"/>
      <c r="R15" s="970"/>
      <c r="S15" s="180"/>
      <c r="T15" s="970" t="str">
        <f>IF(OR('Résultats - ICI'!T19=N.D.,'Résultats - Résidentiel'!T18=N.D.),N.D.,'Résultats - ICI'!T19+'Résultats - Résidentiel'!T18)</f>
        <v>N.D.</v>
      </c>
      <c r="U15" s="970"/>
      <c r="V15" s="970"/>
      <c r="W15" s="970"/>
      <c r="X15" s="630"/>
      <c r="Y15" s="970" t="s">
        <v>313</v>
      </c>
      <c r="Z15" s="970"/>
      <c r="AA15" s="970"/>
      <c r="AB15" s="970"/>
      <c r="AC15" s="180"/>
      <c r="AD15" s="970" t="str">
        <f t="shared" ref="AD15:AD19" si="0">IF(OR(O15=N.D.,T15=N.D.),N.D.,SUM(O15,T15))</f>
        <v>N.D.</v>
      </c>
      <c r="AE15" s="970"/>
      <c r="AF15" s="970"/>
      <c r="AG15" s="970"/>
      <c r="AH15" s="47"/>
      <c r="AI15" s="215"/>
    </row>
    <row r="16" spans="2:35" ht="22.5" customHeight="1" x14ac:dyDescent="0.25">
      <c r="B16" s="215"/>
      <c r="C16" s="5"/>
      <c r="D16" s="992" t="s">
        <v>35</v>
      </c>
      <c r="E16" s="992"/>
      <c r="F16" s="992"/>
      <c r="G16" s="992"/>
      <c r="H16" s="992"/>
      <c r="I16" s="992"/>
      <c r="J16" s="992"/>
      <c r="K16" s="992"/>
      <c r="L16" s="992"/>
      <c r="M16" s="992"/>
      <c r="N16" s="42"/>
      <c r="O16" s="970" t="str">
        <f>IF(OR('Résultats - ICI'!O20=N.D.,'Résultats - Résidentiel'!O19=N.D.),N.D.,'Résultats - ICI'!O20+'Résultats - Résidentiel'!O19)</f>
        <v>N.D.</v>
      </c>
      <c r="P16" s="970"/>
      <c r="Q16" s="970"/>
      <c r="R16" s="970"/>
      <c r="S16" s="180"/>
      <c r="T16" s="970" t="str">
        <f>IF(OR('Résultats - ICI'!T20=N.D.,'Résultats - Résidentiel'!T19=N.D.),N.D.,'Résultats - ICI'!T20+'Résultats - Résidentiel'!T19)</f>
        <v>N.D.</v>
      </c>
      <c r="U16" s="970"/>
      <c r="V16" s="970"/>
      <c r="W16" s="970"/>
      <c r="X16" s="630"/>
      <c r="Y16" s="970" t="s">
        <v>313</v>
      </c>
      <c r="Z16" s="970"/>
      <c r="AA16" s="970"/>
      <c r="AB16" s="970"/>
      <c r="AC16" s="180"/>
      <c r="AD16" s="970" t="str">
        <f t="shared" si="0"/>
        <v>N.D.</v>
      </c>
      <c r="AE16" s="970"/>
      <c r="AF16" s="970"/>
      <c r="AG16" s="970"/>
      <c r="AH16" s="47"/>
      <c r="AI16" s="215"/>
    </row>
    <row r="17" spans="2:35" ht="22.5" customHeight="1" x14ac:dyDescent="0.25">
      <c r="B17" s="215"/>
      <c r="C17" s="5"/>
      <c r="D17" s="992" t="s">
        <v>34</v>
      </c>
      <c r="E17" s="992"/>
      <c r="F17" s="992"/>
      <c r="G17" s="992"/>
      <c r="H17" s="992"/>
      <c r="I17" s="992"/>
      <c r="J17" s="992"/>
      <c r="K17" s="992"/>
      <c r="L17" s="992"/>
      <c r="M17" s="992"/>
      <c r="N17" s="42"/>
      <c r="O17" s="970" t="str">
        <f>IF(OR('Résultats - ICI'!O21=N.D.,'Résultats - Résidentiel'!O20=N.D.),N.D.,'Résultats - ICI'!O21+'Résultats - Résidentiel'!O20)</f>
        <v>N.D.</v>
      </c>
      <c r="P17" s="970"/>
      <c r="Q17" s="970"/>
      <c r="R17" s="970"/>
      <c r="S17" s="180"/>
      <c r="T17" s="970" t="str">
        <f>IF(OR('Résultats - ICI'!T21=N.D.,'Résultats - Résidentiel'!T20=N.D.),N.D.,'Résultats - ICI'!T21+'Résultats - Résidentiel'!T20)</f>
        <v>N.D.</v>
      </c>
      <c r="U17" s="970"/>
      <c r="V17" s="970"/>
      <c r="W17" s="970"/>
      <c r="X17" s="630"/>
      <c r="Y17" s="970" t="s">
        <v>313</v>
      </c>
      <c r="Z17" s="970"/>
      <c r="AA17" s="970"/>
      <c r="AB17" s="970"/>
      <c r="AC17" s="180"/>
      <c r="AD17" s="970" t="str">
        <f t="shared" si="0"/>
        <v>N.D.</v>
      </c>
      <c r="AE17" s="970"/>
      <c r="AF17" s="970"/>
      <c r="AG17" s="970"/>
      <c r="AH17" s="5"/>
      <c r="AI17" s="215"/>
    </row>
    <row r="18" spans="2:35" ht="22.5" customHeight="1" x14ac:dyDescent="0.25">
      <c r="B18" s="215"/>
      <c r="C18" s="5"/>
      <c r="D18" s="1163" t="s">
        <v>33</v>
      </c>
      <c r="E18" s="992"/>
      <c r="F18" s="992"/>
      <c r="G18" s="992"/>
      <c r="H18" s="992"/>
      <c r="I18" s="992"/>
      <c r="J18" s="992"/>
      <c r="K18" s="992"/>
      <c r="L18" s="992"/>
      <c r="M18" s="992"/>
      <c r="N18" s="42"/>
      <c r="O18" s="970" t="str">
        <f>IF(OR('Résultats - ICI'!O22=N.D.,'Résultats - Résidentiel'!O21=N.D.),N.D.,'Résultats - ICI'!O22+'Résultats - Résidentiel'!O21)</f>
        <v>N.D.</v>
      </c>
      <c r="P18" s="970"/>
      <c r="Q18" s="970"/>
      <c r="R18" s="970"/>
      <c r="S18" s="180"/>
      <c r="T18" s="970" t="str">
        <f>IF(OR('Résultats - ICI'!T22=N.D.,'Résultats - Résidentiel'!T21=N.D.),N.D.,'Résultats - ICI'!T22+'Résultats - Résidentiel'!T21)</f>
        <v>N.D.</v>
      </c>
      <c r="U18" s="970"/>
      <c r="V18" s="970"/>
      <c r="W18" s="970"/>
      <c r="X18" s="630"/>
      <c r="Y18" s="970" t="s">
        <v>313</v>
      </c>
      <c r="Z18" s="970"/>
      <c r="AA18" s="970"/>
      <c r="AB18" s="970"/>
      <c r="AC18" s="180"/>
      <c r="AD18" s="970" t="str">
        <f t="shared" si="0"/>
        <v>N.D.</v>
      </c>
      <c r="AE18" s="970"/>
      <c r="AF18" s="970"/>
      <c r="AG18" s="970"/>
      <c r="AH18" s="5"/>
      <c r="AI18" s="215"/>
    </row>
    <row r="19" spans="2:35" ht="22.5" customHeight="1" x14ac:dyDescent="0.25">
      <c r="B19" s="215"/>
      <c r="C19" s="5"/>
      <c r="D19" s="1163" t="s">
        <v>541</v>
      </c>
      <c r="E19" s="1163"/>
      <c r="F19" s="1163"/>
      <c r="G19" s="1163"/>
      <c r="H19" s="1163"/>
      <c r="I19" s="1163"/>
      <c r="J19" s="1163"/>
      <c r="K19" s="1163"/>
      <c r="L19" s="1163"/>
      <c r="M19" s="1163"/>
      <c r="N19" s="42"/>
      <c r="O19" s="970" t="str">
        <f>IF(OR('Résultats - ICI'!O36=N.D.,'Résultats - Résidentiel'!O33=N.D.),N.D.,'Résultats - ICI'!O36+'Résultats - Résidentiel'!O33)</f>
        <v>N.D.</v>
      </c>
      <c r="P19" s="970"/>
      <c r="Q19" s="970"/>
      <c r="R19" s="970"/>
      <c r="S19" s="180"/>
      <c r="T19" s="970" t="str">
        <f>IF(OR('Résultats - ICI'!T36=N.D.,'Résultats - Résidentiel'!T33=N.D.),N.D.,'Résultats - ICI'!T36+'Résultats - Résidentiel'!T33)</f>
        <v>N.D.</v>
      </c>
      <c r="U19" s="970"/>
      <c r="V19" s="970"/>
      <c r="W19" s="970"/>
      <c r="X19" s="630"/>
      <c r="Y19" s="970" t="s">
        <v>313</v>
      </c>
      <c r="Z19" s="970"/>
      <c r="AA19" s="970"/>
      <c r="AB19" s="970"/>
      <c r="AC19" s="180"/>
      <c r="AD19" s="970" t="str">
        <f t="shared" si="0"/>
        <v>N.D.</v>
      </c>
      <c r="AE19" s="970"/>
      <c r="AF19" s="970"/>
      <c r="AG19" s="970"/>
      <c r="AH19" s="5"/>
      <c r="AI19" s="215"/>
    </row>
    <row r="20" spans="2:35" ht="22.5" customHeight="1" x14ac:dyDescent="0.25">
      <c r="B20" s="215"/>
      <c r="C20" s="5"/>
      <c r="D20" s="992" t="s">
        <v>36</v>
      </c>
      <c r="E20" s="992"/>
      <c r="F20" s="992"/>
      <c r="G20" s="992"/>
      <c r="H20" s="992"/>
      <c r="I20" s="992"/>
      <c r="J20" s="992"/>
      <c r="K20" s="992"/>
      <c r="L20" s="992"/>
      <c r="M20" s="992"/>
      <c r="N20" s="42"/>
      <c r="O20" s="991" t="str">
        <f>IF('Résultats CRD'!O27=N.D.,N.D.,'Résultats CRD'!O27)</f>
        <v>N.D.</v>
      </c>
      <c r="P20" s="991"/>
      <c r="Q20" s="991"/>
      <c r="R20" s="991"/>
      <c r="S20" s="180"/>
      <c r="T20" s="991" t="str">
        <f>IF('Résultats CRD'!T27=N.D.,N.D.,'Résultats CRD'!T27)</f>
        <v>N.D.</v>
      </c>
      <c r="U20" s="991"/>
      <c r="V20" s="991"/>
      <c r="W20" s="991"/>
      <c r="X20" s="630"/>
      <c r="Y20" s="970" t="str">
        <f>IF('Résultats CRD'!Y27=N.D.,N.D.,'Résultats CRD'!Y27)</f>
        <v>N.D.</v>
      </c>
      <c r="Z20" s="970"/>
      <c r="AA20" s="970"/>
      <c r="AB20" s="970"/>
      <c r="AC20" s="180"/>
      <c r="AD20" s="970" t="str">
        <f>IF(OR(O20=N.D.,T20=N.D.,Y20=N.D.),N.D.,SUM(O20,T20,Y20))</f>
        <v>N.D.</v>
      </c>
      <c r="AE20" s="970"/>
      <c r="AF20" s="970"/>
      <c r="AG20" s="970"/>
      <c r="AH20" s="5"/>
      <c r="AI20" s="215"/>
    </row>
    <row r="21" spans="2:35" ht="37.5" customHeight="1" x14ac:dyDescent="0.25">
      <c r="B21" s="215"/>
      <c r="C21" s="5"/>
      <c r="D21" s="1200" t="s">
        <v>39</v>
      </c>
      <c r="E21" s="1200"/>
      <c r="F21" s="1200"/>
      <c r="G21" s="1200"/>
      <c r="H21" s="1200"/>
      <c r="I21" s="1200"/>
      <c r="J21" s="1200"/>
      <c r="K21" s="1200"/>
      <c r="L21" s="1200"/>
      <c r="M21" s="1200"/>
      <c r="N21" s="42"/>
      <c r="O21" s="970" t="str">
        <f>IF('Résultats - ICI'!O52="",N.D.,'Résultats - ICI'!O52)</f>
        <v>N.D.</v>
      </c>
      <c r="P21" s="970"/>
      <c r="Q21" s="970"/>
      <c r="R21" s="970"/>
      <c r="S21" s="180"/>
      <c r="T21" s="970" t="str">
        <f>IF('Résultats - ICI'!T52="",N.D.,'Résultats - ICI'!T52)</f>
        <v>N.D.</v>
      </c>
      <c r="U21" s="970"/>
      <c r="V21" s="970"/>
      <c r="W21" s="970"/>
      <c r="X21" s="630"/>
      <c r="Y21" s="970" t="s">
        <v>313</v>
      </c>
      <c r="Z21" s="970"/>
      <c r="AA21" s="970"/>
      <c r="AB21" s="970"/>
      <c r="AC21" s="180"/>
      <c r="AD21" s="970" t="str">
        <f>IF(AND(O21="",T21=""),"",IF(OR(O21=N.D.,T21=N.D.),N.D.,SUM(O21,T21)))</f>
        <v>N.D.</v>
      </c>
      <c r="AE21" s="970"/>
      <c r="AF21" s="970"/>
      <c r="AG21" s="970"/>
      <c r="AH21" s="5"/>
      <c r="AI21" s="215"/>
    </row>
    <row r="22" spans="2:35" ht="37.5" customHeight="1" x14ac:dyDescent="0.25">
      <c r="B22" s="215"/>
      <c r="C22" s="5"/>
      <c r="D22" s="1200" t="s">
        <v>38</v>
      </c>
      <c r="E22" s="1200"/>
      <c r="F22" s="1200"/>
      <c r="G22" s="1200"/>
      <c r="H22" s="1200"/>
      <c r="I22" s="1200"/>
      <c r="J22" s="1200"/>
      <c r="K22" s="1200"/>
      <c r="L22" s="1200"/>
      <c r="M22" s="1200"/>
      <c r="N22" s="28"/>
      <c r="O22" s="1203" t="str">
        <f>IF('Résultats - Résidentiel'!O62=N.D.,N.D.,'Résultats - Résidentiel'!O62)</f>
        <v>N.D.</v>
      </c>
      <c r="P22" s="1203"/>
      <c r="Q22" s="1203"/>
      <c r="R22" s="1203"/>
      <c r="S22" s="212"/>
      <c r="T22" s="1203" t="str">
        <f>IF('Résultats - Résidentiel'!T62=N.D.,N.D.,'Résultats - Résidentiel'!T62)</f>
        <v>N.D.</v>
      </c>
      <c r="U22" s="1203"/>
      <c r="V22" s="1203"/>
      <c r="W22" s="1203"/>
      <c r="X22" s="631"/>
      <c r="Y22" s="970" t="s">
        <v>313</v>
      </c>
      <c r="Z22" s="970"/>
      <c r="AA22" s="970"/>
      <c r="AB22" s="970"/>
      <c r="AC22" s="212"/>
      <c r="AD22" s="1203" t="str">
        <f>IF(OR(O22=N.D.,T22=N.D.),N.D.,SUM(O22,T22))</f>
        <v>N.D.</v>
      </c>
      <c r="AE22" s="1203"/>
      <c r="AF22" s="1203"/>
      <c r="AG22" s="1203"/>
      <c r="AH22" s="5"/>
      <c r="AI22" s="215"/>
    </row>
    <row r="23" spans="2:35" ht="22.5" customHeight="1" x14ac:dyDescent="0.25">
      <c r="B23" s="215"/>
      <c r="D23" s="1163" t="s">
        <v>40</v>
      </c>
      <c r="E23" s="1163"/>
      <c r="F23" s="1163"/>
      <c r="G23" s="1163"/>
      <c r="H23" s="1163"/>
      <c r="I23" s="1163"/>
      <c r="J23" s="1163"/>
      <c r="K23" s="1163"/>
      <c r="L23" s="1163"/>
      <c r="M23" s="1163"/>
      <c r="N23" s="217"/>
      <c r="O23" s="1203" t="str">
        <f>IF(OR('Résultats - Résidentiel'!O63=N.D.,'Résultats - Résidentiel'!O53=N.D.,'Résultats - Résidentiel'!O48=N.D.,'Résultats - ICI'!O60=N.D.,'Résultats - Résidentiel'!O87=N.D.,'Résultats - Résidentiel'!O88=N.D.),N.D.,'Résultats - Résidentiel'!O63+'Résultats - Résidentiel'!O53+'Résultats - Résidentiel'!O48+'Résultats - ICI'!O60+'Résultats - Résidentiel'!O87+'Résultats - Résidentiel'!O88)</f>
        <v>N.D.</v>
      </c>
      <c r="P23" s="1203"/>
      <c r="Q23" s="1203"/>
      <c r="R23" s="1203"/>
      <c r="S23" s="212"/>
      <c r="T23" s="1203" t="str">
        <f>IF(OR('Résultats - Résidentiel'!T63=N.D.,'Résultats - Résidentiel'!T53=N.D.,'Résultats - Résidentiel'!T48=N.D.,'Résultats - ICI'!T60=N.D.,'Résultats - Résidentiel'!T87=N.D.,'Résultats - Résidentiel'!T88=N.D.),N.D.,'Résultats - Résidentiel'!T63+'Résultats - Résidentiel'!T53+'Résultats - Résidentiel'!T48+'Résultats - ICI'!T60+'Résultats - Résidentiel'!T87+'Résultats - Résidentiel'!T88)</f>
        <v>N.D.</v>
      </c>
      <c r="U23" s="1203"/>
      <c r="V23" s="1203"/>
      <c r="W23" s="1203"/>
      <c r="X23" s="631"/>
      <c r="Y23" s="970" t="s">
        <v>313</v>
      </c>
      <c r="Z23" s="970"/>
      <c r="AA23" s="970"/>
      <c r="AB23" s="970"/>
      <c r="AC23" s="212"/>
      <c r="AD23" s="1203" t="str">
        <f>IF(OR(O23=N.D.,T23=N.D.),N.D.,SUM(O23,T23))</f>
        <v>N.D.</v>
      </c>
      <c r="AE23" s="1203"/>
      <c r="AF23" s="1203"/>
      <c r="AG23" s="1203"/>
      <c r="AI23" s="215"/>
    </row>
    <row r="24" spans="2:35" ht="22.5" customHeight="1" x14ac:dyDescent="0.25">
      <c r="B24" s="215"/>
      <c r="C24" s="5"/>
      <c r="D24" s="992" t="s">
        <v>37</v>
      </c>
      <c r="E24" s="992"/>
      <c r="F24" s="992"/>
      <c r="G24" s="992"/>
      <c r="H24" s="992"/>
      <c r="I24" s="992"/>
      <c r="J24" s="992"/>
      <c r="K24" s="992"/>
      <c r="L24" s="992"/>
      <c r="M24" s="992"/>
      <c r="N24" s="42"/>
      <c r="O24" s="970" t="s">
        <v>313</v>
      </c>
      <c r="P24" s="970"/>
      <c r="Q24" s="970"/>
      <c r="R24" s="970"/>
      <c r="S24" s="211"/>
      <c r="T24" s="970" t="str">
        <f>IF(OR('Résultats - Résidentiel'!T92=N.D.,'Résultats - ICI'!T64=N.D.),N.D.,'Résultats - Résidentiel'!T92+'Résultats - ICI'!T64)</f>
        <v>N.D.</v>
      </c>
      <c r="U24" s="970"/>
      <c r="V24" s="970"/>
      <c r="W24" s="970"/>
      <c r="X24" s="630"/>
      <c r="Y24" s="970" t="s">
        <v>313</v>
      </c>
      <c r="Z24" s="970"/>
      <c r="AA24" s="970"/>
      <c r="AB24" s="970"/>
      <c r="AC24" s="211"/>
      <c r="AD24" s="1203" t="str">
        <f>IF(OR(O24=N.D.,T24=N.D.),N.D.,SUM(O24,T24))</f>
        <v>N.D.</v>
      </c>
      <c r="AE24" s="1203"/>
      <c r="AF24" s="1203"/>
      <c r="AG24" s="1203"/>
      <c r="AH24" s="51"/>
      <c r="AI24" s="215"/>
    </row>
    <row r="25" spans="2:35" ht="11.25" customHeight="1" x14ac:dyDescent="0.25">
      <c r="B25" s="215"/>
      <c r="AI25" s="215"/>
    </row>
    <row r="26" spans="2:35" ht="22.5" customHeight="1" x14ac:dyDescent="0.25">
      <c r="B26" s="215"/>
      <c r="D26" s="1201" t="s">
        <v>580</v>
      </c>
      <c r="E26" s="1202"/>
      <c r="F26" s="1202"/>
      <c r="G26" s="1202"/>
      <c r="H26" s="1202"/>
      <c r="I26" s="1202"/>
      <c r="J26" s="1202"/>
      <c r="K26" s="1202"/>
      <c r="L26" s="1202"/>
      <c r="M26" s="1202"/>
      <c r="N26" s="173"/>
      <c r="O26" s="974">
        <f>SUM(O15:O24)</f>
        <v>0</v>
      </c>
      <c r="P26" s="974"/>
      <c r="Q26" s="974"/>
      <c r="R26" s="974"/>
      <c r="S26" s="210"/>
      <c r="T26" s="974">
        <f>SUM(T15:T24)</f>
        <v>0</v>
      </c>
      <c r="U26" s="974"/>
      <c r="V26" s="974"/>
      <c r="W26" s="974"/>
      <c r="X26" s="632"/>
      <c r="Y26" s="974">
        <f>SUM(Y15:Y24)</f>
        <v>0</v>
      </c>
      <c r="Z26" s="974"/>
      <c r="AA26" s="974"/>
      <c r="AB26" s="974"/>
      <c r="AC26" s="210"/>
      <c r="AD26" s="974">
        <f>IF(OR(O26=N.D.,T26=N.D.,Y26=N.D.),N.D.,SUM(O26,T26,Y26))</f>
        <v>0</v>
      </c>
      <c r="AE26" s="974"/>
      <c r="AF26" s="974"/>
      <c r="AG26" s="974"/>
      <c r="AI26" s="215"/>
    </row>
    <row r="27" spans="2:35" ht="22.5" customHeight="1" x14ac:dyDescent="0.25">
      <c r="B27" s="215"/>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I27" s="215"/>
    </row>
    <row r="28" spans="2:35" ht="22.5" customHeight="1" x14ac:dyDescent="0.25">
      <c r="B28" s="215"/>
      <c r="C28" s="5"/>
      <c r="D28" s="1163" t="s">
        <v>41</v>
      </c>
      <c r="E28" s="1163"/>
      <c r="F28" s="1163"/>
      <c r="G28" s="1163"/>
      <c r="H28" s="1163"/>
      <c r="I28" s="1163"/>
      <c r="J28" s="1163"/>
      <c r="K28" s="1163"/>
      <c r="L28" s="1163"/>
      <c r="M28" s="1163"/>
      <c r="N28" s="42"/>
      <c r="O28" s="976" t="str">
        <f>IF('Résultats - Résidentiel'!O43=N.D.,N.D.,'Résultats - Résidentiel'!O43)</f>
        <v>N.D.</v>
      </c>
      <c r="P28" s="976"/>
      <c r="Q28" s="976"/>
      <c r="R28" s="976"/>
      <c r="S28" s="213"/>
      <c r="T28" s="976" t="str">
        <f>IF('Résultats - Résidentiel'!T43=N.D.,N.D.,'Résultats - Résidentiel'!T43)</f>
        <v>N.D.</v>
      </c>
      <c r="U28" s="976"/>
      <c r="V28" s="976"/>
      <c r="W28" s="976"/>
      <c r="X28" s="633"/>
      <c r="Y28" s="970" t="s">
        <v>313</v>
      </c>
      <c r="Z28" s="970"/>
      <c r="AA28" s="970"/>
      <c r="AB28" s="970"/>
      <c r="AC28" s="213"/>
      <c r="AD28" s="976" t="str">
        <f>IF(OR(O28=N.D.,T28=N.D.),N.D.,SUM(O28,T28))</f>
        <v>N.D.</v>
      </c>
      <c r="AE28" s="976"/>
      <c r="AF28" s="976"/>
      <c r="AG28" s="976"/>
      <c r="AH28" s="5"/>
      <c r="AI28" s="215"/>
    </row>
    <row r="29" spans="2:35" ht="23.25" x14ac:dyDescent="0.25">
      <c r="B29" s="215"/>
      <c r="AI29" s="215"/>
    </row>
    <row r="30" spans="2:35" ht="6" customHeight="1" x14ac:dyDescent="0.2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row>
    <row r="32" spans="2:35" x14ac:dyDescent="0.25">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row>
  </sheetData>
  <sheetProtection algorithmName="SHA-512" hashValue="wD5GY1LS85D9Kx1evtdwQd2OpbrbqR4w85zcpVeEXHZPiyzTxzReINo1YPd0TrKvi3MoJJlUFqk22cfMOVWxdg==" saltValue="MbU4zljpJ9OJ7akqoSqUZA==" spinCount="100000" sheet="1" objects="1" scenarios="1"/>
  <mergeCells count="65">
    <mergeCell ref="Y28:AB28"/>
    <mergeCell ref="Y21:AB21"/>
    <mergeCell ref="Y22:AB22"/>
    <mergeCell ref="Y23:AB23"/>
    <mergeCell ref="Y24:AB24"/>
    <mergeCell ref="Y26:AB26"/>
    <mergeCell ref="Y14:AB14"/>
    <mergeCell ref="Y15:AB15"/>
    <mergeCell ref="Y16:AB16"/>
    <mergeCell ref="Y17:AB17"/>
    <mergeCell ref="Y18:AB18"/>
    <mergeCell ref="O15:R15"/>
    <mergeCell ref="T15:W15"/>
    <mergeCell ref="AD15:AG15"/>
    <mergeCell ref="O16:R16"/>
    <mergeCell ref="T16:W16"/>
    <mergeCell ref="AD16:AG16"/>
    <mergeCell ref="O14:R14"/>
    <mergeCell ref="AD14:AG14"/>
    <mergeCell ref="T14:W14"/>
    <mergeCell ref="AD21:AG21"/>
    <mergeCell ref="O19:R19"/>
    <mergeCell ref="T19:W19"/>
    <mergeCell ref="AD19:AG19"/>
    <mergeCell ref="O20:R20"/>
    <mergeCell ref="T20:W20"/>
    <mergeCell ref="AD20:AG20"/>
    <mergeCell ref="O17:R17"/>
    <mergeCell ref="T17:W17"/>
    <mergeCell ref="AD17:AG17"/>
    <mergeCell ref="O18:R18"/>
    <mergeCell ref="T18:W18"/>
    <mergeCell ref="AD18:AG18"/>
    <mergeCell ref="D15:M15"/>
    <mergeCell ref="D17:M17"/>
    <mergeCell ref="D16:M16"/>
    <mergeCell ref="D18:M18"/>
    <mergeCell ref="AD28:AG28"/>
    <mergeCell ref="O24:R24"/>
    <mergeCell ref="T24:W24"/>
    <mergeCell ref="AD24:AG24"/>
    <mergeCell ref="O26:R26"/>
    <mergeCell ref="T26:W26"/>
    <mergeCell ref="AD26:AG26"/>
    <mergeCell ref="T28:W28"/>
    <mergeCell ref="O28:R28"/>
    <mergeCell ref="AD22:AG22"/>
    <mergeCell ref="O23:R23"/>
    <mergeCell ref="T23:W23"/>
    <mergeCell ref="C32:AH32"/>
    <mergeCell ref="D28:M28"/>
    <mergeCell ref="O21:R21"/>
    <mergeCell ref="T21:W21"/>
    <mergeCell ref="D19:M19"/>
    <mergeCell ref="D20:M20"/>
    <mergeCell ref="D21:M21"/>
    <mergeCell ref="D22:M22"/>
    <mergeCell ref="D23:M23"/>
    <mergeCell ref="D24:M24"/>
    <mergeCell ref="D26:M26"/>
    <mergeCell ref="AD23:AG23"/>
    <mergeCell ref="O22:R22"/>
    <mergeCell ref="T22:W22"/>
    <mergeCell ref="Y19:AB19"/>
    <mergeCell ref="Y20:AB20"/>
  </mergeCells>
  <phoneticPr fontId="26" type="noConversion"/>
  <conditionalFormatting sqref="T28:X28 AD28:AG28 T26:X26 AD26:AG26 O28:R28 O26:R26 T15:T24 O15:O24 P15:R19 P21:R24 U21:X24 U15:X19 AD15:AG24">
    <cfRule type="expression" dxfId="3" priority="4" stopIfTrue="1">
      <formula>NOT(#REF!="")</formula>
    </cfRule>
  </conditionalFormatting>
  <conditionalFormatting sqref="Y15:AB24">
    <cfRule type="expression" dxfId="2" priority="3" stopIfTrue="1">
      <formula>NOT(#REF!="")</formula>
    </cfRule>
  </conditionalFormatting>
  <conditionalFormatting sqref="Y28:AB28">
    <cfRule type="expression" dxfId="1" priority="2" stopIfTrue="1">
      <formula>NOT(#REF!="")</formula>
    </cfRule>
  </conditionalFormatting>
  <conditionalFormatting sqref="Y26:AB26">
    <cfRule type="expression" dxfId="0" priority="1" stopIfTrue="1">
      <formula>NOT(#REF!="")</formula>
    </cfRule>
  </conditionalFormatting>
  <printOptions horizontalCentered="1"/>
  <pageMargins left="0.78740157480314965" right="0.78740157480314965" top="0.98425196850393704" bottom="0.98425196850393704" header="0.51181102362204722" footer="0.51181102362204722"/>
  <pageSetup orientation="portrait" r:id="rId1"/>
  <headerFooter alignWithMargins="0">
    <oddFooter>&amp;RRésultats globaux - 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indexed="22"/>
    <pageSetUpPr autoPageBreaks="0" fitToPage="1"/>
  </sheetPr>
  <dimension ref="C2:AX41"/>
  <sheetViews>
    <sheetView showGridLines="0" showRowColHeaders="0" workbookViewId="0">
      <selection activeCell="B1" sqref="B1"/>
    </sheetView>
  </sheetViews>
  <sheetFormatPr baseColWidth="10" defaultColWidth="3.140625" defaultRowHeight="15" x14ac:dyDescent="0.25"/>
  <cols>
    <col min="1" max="1" width="1" style="5" customWidth="1"/>
    <col min="2" max="16384" width="3.140625" style="5"/>
  </cols>
  <sheetData>
    <row r="2" spans="3:50" ht="18.75" x14ac:dyDescent="0.3">
      <c r="C2" s="86" t="s">
        <v>335</v>
      </c>
      <c r="AX2" s="275" t="str">
        <f>"Version "&amp;Paramètres!G3</f>
        <v>Version 2022</v>
      </c>
    </row>
    <row r="4" spans="3:50" ht="15.75" x14ac:dyDescent="0.25">
      <c r="C4" s="12" t="s">
        <v>336</v>
      </c>
    </row>
    <row r="5" spans="3:50" x14ac:dyDescent="0.25">
      <c r="C5" s="811" t="s">
        <v>383</v>
      </c>
      <c r="D5" s="811"/>
      <c r="E5" s="811"/>
      <c r="F5" s="811"/>
      <c r="G5" s="811"/>
      <c r="H5" s="811"/>
      <c r="I5" s="14"/>
      <c r="J5" s="1106" t="s">
        <v>332</v>
      </c>
      <c r="K5" s="1106"/>
      <c r="L5" s="1106"/>
      <c r="M5" s="1106"/>
      <c r="N5" s="1106"/>
      <c r="O5" s="1106"/>
      <c r="P5" s="1106"/>
      <c r="Q5" s="1106"/>
      <c r="R5" s="1106"/>
      <c r="S5" s="1106"/>
      <c r="T5" s="1106"/>
      <c r="U5" s="1106"/>
      <c r="V5" s="1106"/>
      <c r="W5" s="1106"/>
      <c r="Y5" s="1106" t="s">
        <v>333</v>
      </c>
      <c r="Z5" s="1106"/>
      <c r="AA5" s="1106"/>
      <c r="AB5" s="1106"/>
      <c r="AC5" s="1106"/>
      <c r="AD5" s="1106"/>
      <c r="AE5" s="1106"/>
      <c r="AF5" s="1106"/>
      <c r="AG5" s="1106"/>
      <c r="AH5" s="1106"/>
      <c r="AI5" s="1106"/>
      <c r="AJ5" s="1106"/>
      <c r="AK5" s="1106"/>
      <c r="AL5" s="1106"/>
      <c r="AM5" s="1106"/>
      <c r="AN5" s="1106"/>
      <c r="AO5" s="1106"/>
      <c r="AQ5" s="1106" t="s">
        <v>338</v>
      </c>
      <c r="AR5" s="1106"/>
      <c r="AS5" s="1106"/>
      <c r="AT5" s="1106"/>
      <c r="AU5" s="1106"/>
      <c r="AV5" s="1106"/>
      <c r="AW5" s="1106"/>
      <c r="AX5" s="1106"/>
    </row>
    <row r="6" spans="3:50" x14ac:dyDescent="0.25">
      <c r="C6" s="1208" t="str">
        <f>IF('Données - Résidentiel'!H242="","",'Données - Résidentiel'!H242)</f>
        <v/>
      </c>
      <c r="D6" s="1209"/>
      <c r="E6" s="1209"/>
      <c r="F6" s="1209"/>
      <c r="G6" s="1209"/>
      <c r="H6" s="1210"/>
      <c r="I6" s="14"/>
      <c r="J6" s="1205" t="str">
        <f>IF('Données - Résidentiel'!O242="","",'Données - Résidentiel'!O242)</f>
        <v/>
      </c>
      <c r="K6" s="1206"/>
      <c r="L6" s="1206"/>
      <c r="M6" s="1206"/>
      <c r="N6" s="1206"/>
      <c r="O6" s="1206"/>
      <c r="P6" s="1206"/>
      <c r="Q6" s="1206"/>
      <c r="R6" s="1206"/>
      <c r="S6" s="1206"/>
      <c r="T6" s="1206"/>
      <c r="U6" s="1206"/>
      <c r="V6" s="1206"/>
      <c r="W6" s="1207"/>
      <c r="X6" s="14"/>
      <c r="Y6" s="1205" t="str">
        <f>IF('Données - Résidentiel'!AD242="","",'Données - Résidentiel'!AD242)</f>
        <v/>
      </c>
      <c r="Z6" s="1206"/>
      <c r="AA6" s="1206"/>
      <c r="AB6" s="1206"/>
      <c r="AC6" s="1206"/>
      <c r="AD6" s="1206"/>
      <c r="AE6" s="1206"/>
      <c r="AF6" s="1206"/>
      <c r="AG6" s="1206"/>
      <c r="AH6" s="1206"/>
      <c r="AI6" s="1206"/>
      <c r="AJ6" s="1206"/>
      <c r="AK6" s="1206"/>
      <c r="AL6" s="1206"/>
      <c r="AM6" s="1206"/>
      <c r="AN6" s="1206"/>
      <c r="AO6" s="1207"/>
      <c r="AP6" s="14"/>
      <c r="AQ6" s="1205" t="str">
        <f>IF('Données - Résidentiel'!AV242="","",'Données - Résidentiel'!AV242)</f>
        <v/>
      </c>
      <c r="AR6" s="1206"/>
      <c r="AS6" s="1206"/>
      <c r="AT6" s="1206"/>
      <c r="AU6" s="1206"/>
      <c r="AV6" s="1206"/>
      <c r="AW6" s="1206"/>
      <c r="AX6" s="1207"/>
    </row>
    <row r="7" spans="3:50" x14ac:dyDescent="0.25">
      <c r="C7" s="1208" t="str">
        <f>IF('Données - Résidentiel'!H243="","",'Données - Résidentiel'!H243)</f>
        <v/>
      </c>
      <c r="D7" s="1209"/>
      <c r="E7" s="1209"/>
      <c r="F7" s="1209"/>
      <c r="G7" s="1209"/>
      <c r="H7" s="1210"/>
      <c r="I7" s="14"/>
      <c r="J7" s="1205" t="str">
        <f>IF('Données - Résidentiel'!O243="","",'Données - Résidentiel'!O243)</f>
        <v/>
      </c>
      <c r="K7" s="1206"/>
      <c r="L7" s="1206"/>
      <c r="M7" s="1206"/>
      <c r="N7" s="1206"/>
      <c r="O7" s="1206"/>
      <c r="P7" s="1206"/>
      <c r="Q7" s="1206"/>
      <c r="R7" s="1206"/>
      <c r="S7" s="1206"/>
      <c r="T7" s="1206"/>
      <c r="U7" s="1206"/>
      <c r="V7" s="1206"/>
      <c r="W7" s="1207"/>
      <c r="X7" s="14"/>
      <c r="Y7" s="1205" t="str">
        <f>IF('Données - Résidentiel'!AD243="","",'Données - Résidentiel'!AD243)</f>
        <v/>
      </c>
      <c r="Z7" s="1206"/>
      <c r="AA7" s="1206"/>
      <c r="AB7" s="1206"/>
      <c r="AC7" s="1206"/>
      <c r="AD7" s="1206"/>
      <c r="AE7" s="1206"/>
      <c r="AF7" s="1206"/>
      <c r="AG7" s="1206"/>
      <c r="AH7" s="1206"/>
      <c r="AI7" s="1206"/>
      <c r="AJ7" s="1206"/>
      <c r="AK7" s="1206"/>
      <c r="AL7" s="1206"/>
      <c r="AM7" s="1206"/>
      <c r="AN7" s="1206"/>
      <c r="AO7" s="1207"/>
      <c r="AP7" s="14"/>
      <c r="AQ7" s="1205" t="str">
        <f>IF('Données - Résidentiel'!AV243="","",'Données - Résidentiel'!AV243)</f>
        <v/>
      </c>
      <c r="AR7" s="1206"/>
      <c r="AS7" s="1206"/>
      <c r="AT7" s="1206"/>
      <c r="AU7" s="1206"/>
      <c r="AV7" s="1206"/>
      <c r="AW7" s="1206"/>
      <c r="AX7" s="1207"/>
    </row>
    <row r="8" spans="3:50" x14ac:dyDescent="0.25">
      <c r="C8" s="1208" t="str">
        <f>IF('Données - Résidentiel'!H244="","",'Données - Résidentiel'!H244)</f>
        <v/>
      </c>
      <c r="D8" s="1209"/>
      <c r="E8" s="1209"/>
      <c r="F8" s="1209"/>
      <c r="G8" s="1209"/>
      <c r="H8" s="1210"/>
      <c r="I8" s="14"/>
      <c r="J8" s="1205" t="str">
        <f>IF('Données - Résidentiel'!O244="","",'Données - Résidentiel'!O244)</f>
        <v/>
      </c>
      <c r="K8" s="1206"/>
      <c r="L8" s="1206"/>
      <c r="M8" s="1206"/>
      <c r="N8" s="1206"/>
      <c r="O8" s="1206"/>
      <c r="P8" s="1206"/>
      <c r="Q8" s="1206"/>
      <c r="R8" s="1206"/>
      <c r="S8" s="1206"/>
      <c r="T8" s="1206"/>
      <c r="U8" s="1206"/>
      <c r="V8" s="1206"/>
      <c r="W8" s="1207"/>
      <c r="X8" s="14"/>
      <c r="Y8" s="1205" t="str">
        <f>IF('Données - Résidentiel'!AD244="","",'Données - Résidentiel'!AD244)</f>
        <v/>
      </c>
      <c r="Z8" s="1206"/>
      <c r="AA8" s="1206"/>
      <c r="AB8" s="1206"/>
      <c r="AC8" s="1206"/>
      <c r="AD8" s="1206"/>
      <c r="AE8" s="1206"/>
      <c r="AF8" s="1206"/>
      <c r="AG8" s="1206"/>
      <c r="AH8" s="1206"/>
      <c r="AI8" s="1206"/>
      <c r="AJ8" s="1206"/>
      <c r="AK8" s="1206"/>
      <c r="AL8" s="1206"/>
      <c r="AM8" s="1206"/>
      <c r="AN8" s="1206"/>
      <c r="AO8" s="1207"/>
      <c r="AP8" s="14"/>
      <c r="AQ8" s="1205" t="str">
        <f>IF('Données - Résidentiel'!AV244="","",'Données - Résidentiel'!AV244)</f>
        <v/>
      </c>
      <c r="AR8" s="1206"/>
      <c r="AS8" s="1206"/>
      <c r="AT8" s="1206"/>
      <c r="AU8" s="1206"/>
      <c r="AV8" s="1206"/>
      <c r="AW8" s="1206"/>
      <c r="AX8" s="1207"/>
    </row>
    <row r="9" spans="3:50" x14ac:dyDescent="0.25">
      <c r="C9" s="1208" t="str">
        <f>IF('Données - Résidentiel'!H245="","",'Données - Résidentiel'!H245)</f>
        <v/>
      </c>
      <c r="D9" s="1209"/>
      <c r="E9" s="1209"/>
      <c r="F9" s="1209"/>
      <c r="G9" s="1209"/>
      <c r="H9" s="1210"/>
      <c r="I9" s="14"/>
      <c r="J9" s="1205" t="str">
        <f>IF('Données - Résidentiel'!O245="","",'Données - Résidentiel'!O245)</f>
        <v/>
      </c>
      <c r="K9" s="1206"/>
      <c r="L9" s="1206"/>
      <c r="M9" s="1206"/>
      <c r="N9" s="1206"/>
      <c r="O9" s="1206"/>
      <c r="P9" s="1206"/>
      <c r="Q9" s="1206"/>
      <c r="R9" s="1206"/>
      <c r="S9" s="1206"/>
      <c r="T9" s="1206"/>
      <c r="U9" s="1206"/>
      <c r="V9" s="1206"/>
      <c r="W9" s="1207"/>
      <c r="X9" s="14"/>
      <c r="Y9" s="1205" t="str">
        <f>IF('Données - Résidentiel'!AD245="","",'Données - Résidentiel'!AD245)</f>
        <v/>
      </c>
      <c r="Z9" s="1206"/>
      <c r="AA9" s="1206"/>
      <c r="AB9" s="1206"/>
      <c r="AC9" s="1206"/>
      <c r="AD9" s="1206"/>
      <c r="AE9" s="1206"/>
      <c r="AF9" s="1206"/>
      <c r="AG9" s="1206"/>
      <c r="AH9" s="1206"/>
      <c r="AI9" s="1206"/>
      <c r="AJ9" s="1206"/>
      <c r="AK9" s="1206"/>
      <c r="AL9" s="1206"/>
      <c r="AM9" s="1206"/>
      <c r="AN9" s="1206"/>
      <c r="AO9" s="1207"/>
      <c r="AP9" s="14"/>
      <c r="AQ9" s="1205" t="str">
        <f>IF('Données - Résidentiel'!AV245="","",'Données - Résidentiel'!AV245)</f>
        <v/>
      </c>
      <c r="AR9" s="1206"/>
      <c r="AS9" s="1206"/>
      <c r="AT9" s="1206"/>
      <c r="AU9" s="1206"/>
      <c r="AV9" s="1206"/>
      <c r="AW9" s="1206"/>
      <c r="AX9" s="1207"/>
    </row>
    <row r="10" spans="3:50" x14ac:dyDescent="0.25">
      <c r="C10" s="1208" t="str">
        <f>IF('Données - Résidentiel'!H246="","",'Données - Résidentiel'!H246)</f>
        <v/>
      </c>
      <c r="D10" s="1209"/>
      <c r="E10" s="1209"/>
      <c r="F10" s="1209"/>
      <c r="G10" s="1209"/>
      <c r="H10" s="1210"/>
      <c r="I10" s="14"/>
      <c r="J10" s="1205" t="str">
        <f>IF('Données - Résidentiel'!O246="","",'Données - Résidentiel'!O246)</f>
        <v/>
      </c>
      <c r="K10" s="1206"/>
      <c r="L10" s="1206"/>
      <c r="M10" s="1206"/>
      <c r="N10" s="1206"/>
      <c r="O10" s="1206"/>
      <c r="P10" s="1206"/>
      <c r="Q10" s="1206"/>
      <c r="R10" s="1206"/>
      <c r="S10" s="1206"/>
      <c r="T10" s="1206"/>
      <c r="U10" s="1206"/>
      <c r="V10" s="1206"/>
      <c r="W10" s="1207"/>
      <c r="X10" s="14"/>
      <c r="Y10" s="1205" t="str">
        <f>IF('Données - Résidentiel'!AD246="","",'Données - Résidentiel'!AD246)</f>
        <v/>
      </c>
      <c r="Z10" s="1206"/>
      <c r="AA10" s="1206"/>
      <c r="AB10" s="1206"/>
      <c r="AC10" s="1206"/>
      <c r="AD10" s="1206"/>
      <c r="AE10" s="1206"/>
      <c r="AF10" s="1206"/>
      <c r="AG10" s="1206"/>
      <c r="AH10" s="1206"/>
      <c r="AI10" s="1206"/>
      <c r="AJ10" s="1206"/>
      <c r="AK10" s="1206"/>
      <c r="AL10" s="1206"/>
      <c r="AM10" s="1206"/>
      <c r="AN10" s="1206"/>
      <c r="AO10" s="1207"/>
      <c r="AP10" s="14"/>
      <c r="AQ10" s="1205" t="str">
        <f>IF('Données - Résidentiel'!AV246="","",'Données - Résidentiel'!AV246)</f>
        <v/>
      </c>
      <c r="AR10" s="1206"/>
      <c r="AS10" s="1206"/>
      <c r="AT10" s="1206"/>
      <c r="AU10" s="1206"/>
      <c r="AV10" s="1206"/>
      <c r="AW10" s="1206"/>
      <c r="AX10" s="1207"/>
    </row>
    <row r="11" spans="3:50" x14ac:dyDescent="0.25">
      <c r="C11" s="1208" t="str">
        <f>IF('Données - Résidentiel'!H247="","",'Données - Résidentiel'!H247)</f>
        <v/>
      </c>
      <c r="D11" s="1209"/>
      <c r="E11" s="1209"/>
      <c r="F11" s="1209"/>
      <c r="G11" s="1209"/>
      <c r="H11" s="1210"/>
      <c r="I11" s="14"/>
      <c r="J11" s="1205" t="str">
        <f>IF('Données - Résidentiel'!O247="","",'Données - Résidentiel'!O247)</f>
        <v/>
      </c>
      <c r="K11" s="1206"/>
      <c r="L11" s="1206"/>
      <c r="M11" s="1206"/>
      <c r="N11" s="1206"/>
      <c r="O11" s="1206"/>
      <c r="P11" s="1206"/>
      <c r="Q11" s="1206"/>
      <c r="R11" s="1206"/>
      <c r="S11" s="1206"/>
      <c r="T11" s="1206"/>
      <c r="U11" s="1206"/>
      <c r="V11" s="1206"/>
      <c r="W11" s="1207"/>
      <c r="X11" s="14"/>
      <c r="Y11" s="1205" t="str">
        <f>IF('Données - Résidentiel'!AD247="","",'Données - Résidentiel'!AD247)</f>
        <v/>
      </c>
      <c r="Z11" s="1206"/>
      <c r="AA11" s="1206"/>
      <c r="AB11" s="1206"/>
      <c r="AC11" s="1206"/>
      <c r="AD11" s="1206"/>
      <c r="AE11" s="1206"/>
      <c r="AF11" s="1206"/>
      <c r="AG11" s="1206"/>
      <c r="AH11" s="1206"/>
      <c r="AI11" s="1206"/>
      <c r="AJ11" s="1206"/>
      <c r="AK11" s="1206"/>
      <c r="AL11" s="1206"/>
      <c r="AM11" s="1206"/>
      <c r="AN11" s="1206"/>
      <c r="AO11" s="1207"/>
      <c r="AP11" s="14"/>
      <c r="AQ11" s="1205" t="str">
        <f>IF('Données - Résidentiel'!AV247="","",'Données - Résidentiel'!AV247)</f>
        <v/>
      </c>
      <c r="AR11" s="1206"/>
      <c r="AS11" s="1206"/>
      <c r="AT11" s="1206"/>
      <c r="AU11" s="1206"/>
      <c r="AV11" s="1206"/>
      <c r="AW11" s="1206"/>
      <c r="AX11" s="1207"/>
    </row>
    <row r="12" spans="3:50" x14ac:dyDescent="0.25">
      <c r="C12" s="1208" t="str">
        <f>IF('Données - Résidentiel'!H248="","",'Données - Résidentiel'!H248)</f>
        <v/>
      </c>
      <c r="D12" s="1209"/>
      <c r="E12" s="1209"/>
      <c r="F12" s="1209"/>
      <c r="G12" s="1209"/>
      <c r="H12" s="1210"/>
      <c r="I12" s="14"/>
      <c r="J12" s="1205" t="str">
        <f>IF('Données - Résidentiel'!O248="","",'Données - Résidentiel'!O248)</f>
        <v/>
      </c>
      <c r="K12" s="1206"/>
      <c r="L12" s="1206"/>
      <c r="M12" s="1206"/>
      <c r="N12" s="1206"/>
      <c r="O12" s="1206"/>
      <c r="P12" s="1206"/>
      <c r="Q12" s="1206"/>
      <c r="R12" s="1206"/>
      <c r="S12" s="1206"/>
      <c r="T12" s="1206"/>
      <c r="U12" s="1206"/>
      <c r="V12" s="1206"/>
      <c r="W12" s="1207"/>
      <c r="X12" s="14"/>
      <c r="Y12" s="1205" t="str">
        <f>IF('Données - Résidentiel'!AD248="","",'Données - Résidentiel'!AD248)</f>
        <v/>
      </c>
      <c r="Z12" s="1206"/>
      <c r="AA12" s="1206"/>
      <c r="AB12" s="1206"/>
      <c r="AC12" s="1206"/>
      <c r="AD12" s="1206"/>
      <c r="AE12" s="1206"/>
      <c r="AF12" s="1206"/>
      <c r="AG12" s="1206"/>
      <c r="AH12" s="1206"/>
      <c r="AI12" s="1206"/>
      <c r="AJ12" s="1206"/>
      <c r="AK12" s="1206"/>
      <c r="AL12" s="1206"/>
      <c r="AM12" s="1206"/>
      <c r="AN12" s="1206"/>
      <c r="AO12" s="1207"/>
      <c r="AP12" s="14"/>
      <c r="AQ12" s="1205" t="str">
        <f>IF('Données - Résidentiel'!AV248="","",'Données - Résidentiel'!AV248)</f>
        <v/>
      </c>
      <c r="AR12" s="1206"/>
      <c r="AS12" s="1206"/>
      <c r="AT12" s="1206"/>
      <c r="AU12" s="1206"/>
      <c r="AV12" s="1206"/>
      <c r="AW12" s="1206"/>
      <c r="AX12" s="1207"/>
    </row>
    <row r="13" spans="3:50" x14ac:dyDescent="0.25">
      <c r="C13" s="1208" t="str">
        <f>IF('Données - Résidentiel'!H249="","",'Données - Résidentiel'!H249)</f>
        <v/>
      </c>
      <c r="D13" s="1209"/>
      <c r="E13" s="1209"/>
      <c r="F13" s="1209"/>
      <c r="G13" s="1209"/>
      <c r="H13" s="1210"/>
      <c r="I13" s="14"/>
      <c r="J13" s="1205" t="str">
        <f>IF('Données - Résidentiel'!O249="","",'Données - Résidentiel'!O249)</f>
        <v/>
      </c>
      <c r="K13" s="1206"/>
      <c r="L13" s="1206"/>
      <c r="M13" s="1206"/>
      <c r="N13" s="1206"/>
      <c r="O13" s="1206"/>
      <c r="P13" s="1206"/>
      <c r="Q13" s="1206"/>
      <c r="R13" s="1206"/>
      <c r="S13" s="1206"/>
      <c r="T13" s="1206"/>
      <c r="U13" s="1206"/>
      <c r="V13" s="1206"/>
      <c r="W13" s="1207"/>
      <c r="X13" s="14"/>
      <c r="Y13" s="1205" t="str">
        <f>IF('Données - Résidentiel'!AD249="","",'Données - Résidentiel'!AD249)</f>
        <v/>
      </c>
      <c r="Z13" s="1206"/>
      <c r="AA13" s="1206"/>
      <c r="AB13" s="1206"/>
      <c r="AC13" s="1206"/>
      <c r="AD13" s="1206"/>
      <c r="AE13" s="1206"/>
      <c r="AF13" s="1206"/>
      <c r="AG13" s="1206"/>
      <c r="AH13" s="1206"/>
      <c r="AI13" s="1206"/>
      <c r="AJ13" s="1206"/>
      <c r="AK13" s="1206"/>
      <c r="AL13" s="1206"/>
      <c r="AM13" s="1206"/>
      <c r="AN13" s="1206"/>
      <c r="AO13" s="1207"/>
      <c r="AP13" s="14"/>
      <c r="AQ13" s="1205" t="str">
        <f>IF('Données - Résidentiel'!AV249="","",'Données - Résidentiel'!AV249)</f>
        <v/>
      </c>
      <c r="AR13" s="1206"/>
      <c r="AS13" s="1206"/>
      <c r="AT13" s="1206"/>
      <c r="AU13" s="1206"/>
      <c r="AV13" s="1206"/>
      <c r="AW13" s="1206"/>
      <c r="AX13" s="1207"/>
    </row>
    <row r="14" spans="3:50" x14ac:dyDescent="0.25">
      <c r="C14" s="1208" t="str">
        <f>IF('Données - Résidentiel'!H250="","",'Données - Résidentiel'!H250)</f>
        <v/>
      </c>
      <c r="D14" s="1209"/>
      <c r="E14" s="1209"/>
      <c r="F14" s="1209"/>
      <c r="G14" s="1209"/>
      <c r="H14" s="1210"/>
      <c r="I14" s="14"/>
      <c r="J14" s="1205" t="str">
        <f>IF('Données - Résidentiel'!O250="","",'Données - Résidentiel'!O250)</f>
        <v/>
      </c>
      <c r="K14" s="1206"/>
      <c r="L14" s="1206"/>
      <c r="M14" s="1206"/>
      <c r="N14" s="1206"/>
      <c r="O14" s="1206"/>
      <c r="P14" s="1206"/>
      <c r="Q14" s="1206"/>
      <c r="R14" s="1206"/>
      <c r="S14" s="1206"/>
      <c r="T14" s="1206"/>
      <c r="U14" s="1206"/>
      <c r="V14" s="1206"/>
      <c r="W14" s="1207"/>
      <c r="X14" s="14"/>
      <c r="Y14" s="1205" t="str">
        <f>IF('Données - Résidentiel'!AD250="","",'Données - Résidentiel'!AD250)</f>
        <v/>
      </c>
      <c r="Z14" s="1206"/>
      <c r="AA14" s="1206"/>
      <c r="AB14" s="1206"/>
      <c r="AC14" s="1206"/>
      <c r="AD14" s="1206"/>
      <c r="AE14" s="1206"/>
      <c r="AF14" s="1206"/>
      <c r="AG14" s="1206"/>
      <c r="AH14" s="1206"/>
      <c r="AI14" s="1206"/>
      <c r="AJ14" s="1206"/>
      <c r="AK14" s="1206"/>
      <c r="AL14" s="1206"/>
      <c r="AM14" s="1206"/>
      <c r="AN14" s="1206"/>
      <c r="AO14" s="1207"/>
      <c r="AP14" s="14"/>
      <c r="AQ14" s="1205" t="str">
        <f>IF('Données - Résidentiel'!AV250="","",'Données - Résidentiel'!AV250)</f>
        <v/>
      </c>
      <c r="AR14" s="1206"/>
      <c r="AS14" s="1206"/>
      <c r="AT14" s="1206"/>
      <c r="AU14" s="1206"/>
      <c r="AV14" s="1206"/>
      <c r="AW14" s="1206"/>
      <c r="AX14" s="1207"/>
    </row>
    <row r="15" spans="3:50" x14ac:dyDescent="0.25">
      <c r="C15" s="1208" t="str">
        <f>IF('Données - Résidentiel'!H251="","",'Données - Résidentiel'!H251)</f>
        <v/>
      </c>
      <c r="D15" s="1209"/>
      <c r="E15" s="1209"/>
      <c r="F15" s="1209"/>
      <c r="G15" s="1209"/>
      <c r="H15" s="1210"/>
      <c r="I15" s="14"/>
      <c r="J15" s="1205" t="str">
        <f>IF('Données - Résidentiel'!O251="","",'Données - Résidentiel'!O251)</f>
        <v/>
      </c>
      <c r="K15" s="1206"/>
      <c r="L15" s="1206"/>
      <c r="M15" s="1206"/>
      <c r="N15" s="1206"/>
      <c r="O15" s="1206"/>
      <c r="P15" s="1206"/>
      <c r="Q15" s="1206"/>
      <c r="R15" s="1206"/>
      <c r="S15" s="1206"/>
      <c r="T15" s="1206"/>
      <c r="U15" s="1206"/>
      <c r="V15" s="1206"/>
      <c r="W15" s="1207"/>
      <c r="X15" s="14"/>
      <c r="Y15" s="1205" t="str">
        <f>IF('Données - Résidentiel'!AD251="","",'Données - Résidentiel'!AD251)</f>
        <v/>
      </c>
      <c r="Z15" s="1206"/>
      <c r="AA15" s="1206"/>
      <c r="AB15" s="1206"/>
      <c r="AC15" s="1206"/>
      <c r="AD15" s="1206"/>
      <c r="AE15" s="1206"/>
      <c r="AF15" s="1206"/>
      <c r="AG15" s="1206"/>
      <c r="AH15" s="1206"/>
      <c r="AI15" s="1206"/>
      <c r="AJ15" s="1206"/>
      <c r="AK15" s="1206"/>
      <c r="AL15" s="1206"/>
      <c r="AM15" s="1206"/>
      <c r="AN15" s="1206"/>
      <c r="AO15" s="1207"/>
      <c r="AP15" s="14"/>
      <c r="AQ15" s="1205" t="str">
        <f>IF('Données - Résidentiel'!AV251="","",'Données - Résidentiel'!AV251)</f>
        <v/>
      </c>
      <c r="AR15" s="1206"/>
      <c r="AS15" s="1206"/>
      <c r="AT15" s="1206"/>
      <c r="AU15" s="1206"/>
      <c r="AV15" s="1206"/>
      <c r="AW15" s="1206"/>
      <c r="AX15" s="1207"/>
    </row>
    <row r="17" spans="3:50" ht="15.75" x14ac:dyDescent="0.25">
      <c r="C17" s="12" t="s">
        <v>337</v>
      </c>
    </row>
    <row r="18" spans="3:50" x14ac:dyDescent="0.25">
      <c r="C18" s="811" t="str">
        <f>C5</f>
        <v>Année de la source</v>
      </c>
      <c r="D18" s="811"/>
      <c r="E18" s="811"/>
      <c r="F18" s="811"/>
      <c r="G18" s="811"/>
      <c r="H18" s="811"/>
      <c r="I18" s="14"/>
      <c r="J18" s="1106" t="str">
        <f>J5</f>
        <v>Auteur</v>
      </c>
      <c r="K18" s="1106"/>
      <c r="L18" s="1106"/>
      <c r="M18" s="1106"/>
      <c r="N18" s="1106"/>
      <c r="O18" s="1106"/>
      <c r="P18" s="1106"/>
      <c r="Q18" s="1106"/>
      <c r="R18" s="1106"/>
      <c r="S18" s="1106"/>
      <c r="T18" s="1106"/>
      <c r="U18" s="1106"/>
      <c r="V18" s="1106"/>
      <c r="W18" s="1106"/>
      <c r="Y18" s="1106" t="str">
        <f>Y5</f>
        <v>Titre</v>
      </c>
      <c r="Z18" s="1106"/>
      <c r="AA18" s="1106"/>
      <c r="AB18" s="1106"/>
      <c r="AC18" s="1106"/>
      <c r="AD18" s="1106"/>
      <c r="AE18" s="1106"/>
      <c r="AF18" s="1106"/>
      <c r="AG18" s="1106"/>
      <c r="AH18" s="1106"/>
      <c r="AI18" s="1106"/>
      <c r="AJ18" s="1106"/>
      <c r="AK18" s="1106"/>
      <c r="AL18" s="1106"/>
      <c r="AM18" s="1106"/>
      <c r="AN18" s="1106"/>
      <c r="AO18" s="1106"/>
      <c r="AQ18" s="1106" t="str">
        <f>AQ5</f>
        <v>Utilisées dans la section :</v>
      </c>
      <c r="AR18" s="1106"/>
      <c r="AS18" s="1106"/>
      <c r="AT18" s="1106"/>
      <c r="AU18" s="1106"/>
      <c r="AV18" s="1106"/>
      <c r="AW18" s="1106"/>
      <c r="AX18" s="1106"/>
    </row>
    <row r="19" spans="3:50" x14ac:dyDescent="0.25">
      <c r="C19" s="1208" t="str">
        <f>IF('Données - ICI'!H288="","",'Données - ICI'!H288)</f>
        <v/>
      </c>
      <c r="D19" s="1209"/>
      <c r="E19" s="1209"/>
      <c r="F19" s="1209"/>
      <c r="G19" s="1209"/>
      <c r="H19" s="1210"/>
      <c r="I19" s="14"/>
      <c r="J19" s="1205" t="str">
        <f>IF('Données - ICI'!O288="","",'Données - ICI'!O288)</f>
        <v/>
      </c>
      <c r="K19" s="1206"/>
      <c r="L19" s="1206"/>
      <c r="M19" s="1206"/>
      <c r="N19" s="1206"/>
      <c r="O19" s="1206"/>
      <c r="P19" s="1206"/>
      <c r="Q19" s="1206"/>
      <c r="R19" s="1206"/>
      <c r="S19" s="1206"/>
      <c r="T19" s="1206"/>
      <c r="U19" s="1206"/>
      <c r="V19" s="1206"/>
      <c r="W19" s="1207"/>
      <c r="X19" s="14"/>
      <c r="Y19" s="1205" t="str">
        <f>IF('Données - ICI'!AD288="","",'Données - ICI'!AD288)</f>
        <v/>
      </c>
      <c r="Z19" s="1206"/>
      <c r="AA19" s="1206"/>
      <c r="AB19" s="1206"/>
      <c r="AC19" s="1206"/>
      <c r="AD19" s="1206"/>
      <c r="AE19" s="1206"/>
      <c r="AF19" s="1206"/>
      <c r="AG19" s="1206"/>
      <c r="AH19" s="1206"/>
      <c r="AI19" s="1206"/>
      <c r="AJ19" s="1206"/>
      <c r="AK19" s="1206"/>
      <c r="AL19" s="1206"/>
      <c r="AM19" s="1206"/>
      <c r="AN19" s="1206"/>
      <c r="AO19" s="1207"/>
      <c r="AP19" s="14"/>
      <c r="AQ19" s="1205" t="str">
        <f>IF('Données - ICI'!AV288="","",'Données - ICI'!AV288)</f>
        <v/>
      </c>
      <c r="AR19" s="1206"/>
      <c r="AS19" s="1206"/>
      <c r="AT19" s="1206"/>
      <c r="AU19" s="1206"/>
      <c r="AV19" s="1206"/>
      <c r="AW19" s="1206"/>
      <c r="AX19" s="1207"/>
    </row>
    <row r="20" spans="3:50" x14ac:dyDescent="0.25">
      <c r="C20" s="1208" t="str">
        <f>IF('Données - ICI'!H289="","",'Données - ICI'!H289)</f>
        <v/>
      </c>
      <c r="D20" s="1209"/>
      <c r="E20" s="1209"/>
      <c r="F20" s="1209"/>
      <c r="G20" s="1209"/>
      <c r="H20" s="1210"/>
      <c r="I20" s="14"/>
      <c r="J20" s="1205" t="str">
        <f>IF('Données - ICI'!O289="","",'Données - ICI'!O289)</f>
        <v/>
      </c>
      <c r="K20" s="1206"/>
      <c r="L20" s="1206"/>
      <c r="M20" s="1206"/>
      <c r="N20" s="1206"/>
      <c r="O20" s="1206"/>
      <c r="P20" s="1206"/>
      <c r="Q20" s="1206"/>
      <c r="R20" s="1206"/>
      <c r="S20" s="1206"/>
      <c r="T20" s="1206"/>
      <c r="U20" s="1206"/>
      <c r="V20" s="1206"/>
      <c r="W20" s="1207"/>
      <c r="X20" s="14"/>
      <c r="Y20" s="1205" t="str">
        <f>IF('Données - ICI'!AD289="","",'Données - ICI'!AD289)</f>
        <v/>
      </c>
      <c r="Z20" s="1206"/>
      <c r="AA20" s="1206"/>
      <c r="AB20" s="1206"/>
      <c r="AC20" s="1206"/>
      <c r="AD20" s="1206"/>
      <c r="AE20" s="1206"/>
      <c r="AF20" s="1206"/>
      <c r="AG20" s="1206"/>
      <c r="AH20" s="1206"/>
      <c r="AI20" s="1206"/>
      <c r="AJ20" s="1206"/>
      <c r="AK20" s="1206"/>
      <c r="AL20" s="1206"/>
      <c r="AM20" s="1206"/>
      <c r="AN20" s="1206"/>
      <c r="AO20" s="1207"/>
      <c r="AP20" s="14"/>
      <c r="AQ20" s="1205" t="str">
        <f>IF('Données - ICI'!AV289="","",'Données - ICI'!AV289)</f>
        <v/>
      </c>
      <c r="AR20" s="1206"/>
      <c r="AS20" s="1206"/>
      <c r="AT20" s="1206"/>
      <c r="AU20" s="1206"/>
      <c r="AV20" s="1206"/>
      <c r="AW20" s="1206"/>
      <c r="AX20" s="1207"/>
    </row>
    <row r="21" spans="3:50" x14ac:dyDescent="0.25">
      <c r="C21" s="1208" t="str">
        <f>IF('Données - ICI'!H290="","",'Données - ICI'!H290)</f>
        <v/>
      </c>
      <c r="D21" s="1209"/>
      <c r="E21" s="1209"/>
      <c r="F21" s="1209"/>
      <c r="G21" s="1209"/>
      <c r="H21" s="1210"/>
      <c r="I21" s="14"/>
      <c r="J21" s="1205" t="str">
        <f>IF('Données - ICI'!O290="","",'Données - ICI'!O290)</f>
        <v/>
      </c>
      <c r="K21" s="1206"/>
      <c r="L21" s="1206"/>
      <c r="M21" s="1206"/>
      <c r="N21" s="1206"/>
      <c r="O21" s="1206"/>
      <c r="P21" s="1206"/>
      <c r="Q21" s="1206"/>
      <c r="R21" s="1206"/>
      <c r="S21" s="1206"/>
      <c r="T21" s="1206"/>
      <c r="U21" s="1206"/>
      <c r="V21" s="1206"/>
      <c r="W21" s="1207"/>
      <c r="X21" s="14"/>
      <c r="Y21" s="1205" t="str">
        <f>IF('Données - ICI'!AD290="","",'Données - ICI'!AD290)</f>
        <v/>
      </c>
      <c r="Z21" s="1206"/>
      <c r="AA21" s="1206"/>
      <c r="AB21" s="1206"/>
      <c r="AC21" s="1206"/>
      <c r="AD21" s="1206"/>
      <c r="AE21" s="1206"/>
      <c r="AF21" s="1206"/>
      <c r="AG21" s="1206"/>
      <c r="AH21" s="1206"/>
      <c r="AI21" s="1206"/>
      <c r="AJ21" s="1206"/>
      <c r="AK21" s="1206"/>
      <c r="AL21" s="1206"/>
      <c r="AM21" s="1206"/>
      <c r="AN21" s="1206"/>
      <c r="AO21" s="1207"/>
      <c r="AP21" s="14"/>
      <c r="AQ21" s="1205" t="str">
        <f>IF('Données - ICI'!AV290="","",'Données - ICI'!AV290)</f>
        <v/>
      </c>
      <c r="AR21" s="1206"/>
      <c r="AS21" s="1206"/>
      <c r="AT21" s="1206"/>
      <c r="AU21" s="1206"/>
      <c r="AV21" s="1206"/>
      <c r="AW21" s="1206"/>
      <c r="AX21" s="1207"/>
    </row>
    <row r="22" spans="3:50" x14ac:dyDescent="0.25">
      <c r="C22" s="1208" t="str">
        <f>IF('Données - ICI'!H291="","",'Données - ICI'!H291)</f>
        <v/>
      </c>
      <c r="D22" s="1209"/>
      <c r="E22" s="1209"/>
      <c r="F22" s="1209"/>
      <c r="G22" s="1209"/>
      <c r="H22" s="1210"/>
      <c r="I22" s="14"/>
      <c r="J22" s="1205" t="str">
        <f>IF('Données - ICI'!O291="","",'Données - ICI'!O291)</f>
        <v/>
      </c>
      <c r="K22" s="1206"/>
      <c r="L22" s="1206"/>
      <c r="M22" s="1206"/>
      <c r="N22" s="1206"/>
      <c r="O22" s="1206"/>
      <c r="P22" s="1206"/>
      <c r="Q22" s="1206"/>
      <c r="R22" s="1206"/>
      <c r="S22" s="1206"/>
      <c r="T22" s="1206"/>
      <c r="U22" s="1206"/>
      <c r="V22" s="1206"/>
      <c r="W22" s="1207"/>
      <c r="X22" s="14"/>
      <c r="Y22" s="1205" t="str">
        <f>IF('Données - ICI'!AD291="","",'Données - ICI'!AD291)</f>
        <v/>
      </c>
      <c r="Z22" s="1206"/>
      <c r="AA22" s="1206"/>
      <c r="AB22" s="1206"/>
      <c r="AC22" s="1206"/>
      <c r="AD22" s="1206"/>
      <c r="AE22" s="1206"/>
      <c r="AF22" s="1206"/>
      <c r="AG22" s="1206"/>
      <c r="AH22" s="1206"/>
      <c r="AI22" s="1206"/>
      <c r="AJ22" s="1206"/>
      <c r="AK22" s="1206"/>
      <c r="AL22" s="1206"/>
      <c r="AM22" s="1206"/>
      <c r="AN22" s="1206"/>
      <c r="AO22" s="1207"/>
      <c r="AP22" s="14"/>
      <c r="AQ22" s="1205" t="str">
        <f>IF('Données - ICI'!AV291="","",'Données - ICI'!AV291)</f>
        <v/>
      </c>
      <c r="AR22" s="1206"/>
      <c r="AS22" s="1206"/>
      <c r="AT22" s="1206"/>
      <c r="AU22" s="1206"/>
      <c r="AV22" s="1206"/>
      <c r="AW22" s="1206"/>
      <c r="AX22" s="1207"/>
    </row>
    <row r="23" spans="3:50" x14ac:dyDescent="0.25">
      <c r="C23" s="1208" t="str">
        <f>IF('Données - ICI'!H292="","",'Données - ICI'!H292)</f>
        <v/>
      </c>
      <c r="D23" s="1209"/>
      <c r="E23" s="1209"/>
      <c r="F23" s="1209"/>
      <c r="G23" s="1209"/>
      <c r="H23" s="1210"/>
      <c r="I23" s="14"/>
      <c r="J23" s="1205" t="str">
        <f>IF('Données - ICI'!O292="","",'Données - ICI'!O292)</f>
        <v/>
      </c>
      <c r="K23" s="1206"/>
      <c r="L23" s="1206"/>
      <c r="M23" s="1206"/>
      <c r="N23" s="1206"/>
      <c r="O23" s="1206"/>
      <c r="P23" s="1206"/>
      <c r="Q23" s="1206"/>
      <c r="R23" s="1206"/>
      <c r="S23" s="1206"/>
      <c r="T23" s="1206"/>
      <c r="U23" s="1206"/>
      <c r="V23" s="1206"/>
      <c r="W23" s="1207"/>
      <c r="X23" s="14"/>
      <c r="Y23" s="1205" t="str">
        <f>IF('Données - ICI'!AD292="","",'Données - ICI'!AD292)</f>
        <v/>
      </c>
      <c r="Z23" s="1206"/>
      <c r="AA23" s="1206"/>
      <c r="AB23" s="1206"/>
      <c r="AC23" s="1206"/>
      <c r="AD23" s="1206"/>
      <c r="AE23" s="1206"/>
      <c r="AF23" s="1206"/>
      <c r="AG23" s="1206"/>
      <c r="AH23" s="1206"/>
      <c r="AI23" s="1206"/>
      <c r="AJ23" s="1206"/>
      <c r="AK23" s="1206"/>
      <c r="AL23" s="1206"/>
      <c r="AM23" s="1206"/>
      <c r="AN23" s="1206"/>
      <c r="AO23" s="1207"/>
      <c r="AP23" s="14"/>
      <c r="AQ23" s="1205" t="str">
        <f>IF('Données - ICI'!AV292="","",'Données - ICI'!AV292)</f>
        <v/>
      </c>
      <c r="AR23" s="1206"/>
      <c r="AS23" s="1206"/>
      <c r="AT23" s="1206"/>
      <c r="AU23" s="1206"/>
      <c r="AV23" s="1206"/>
      <c r="AW23" s="1206"/>
      <c r="AX23" s="1207"/>
    </row>
    <row r="24" spans="3:50" x14ac:dyDescent="0.25">
      <c r="C24" s="1208" t="str">
        <f>IF('Données - ICI'!H293="","",'Données - ICI'!H293)</f>
        <v/>
      </c>
      <c r="D24" s="1209"/>
      <c r="E24" s="1209"/>
      <c r="F24" s="1209"/>
      <c r="G24" s="1209"/>
      <c r="H24" s="1210"/>
      <c r="I24" s="14"/>
      <c r="J24" s="1205" t="str">
        <f>IF('Données - ICI'!O293="","",'Données - ICI'!O293)</f>
        <v/>
      </c>
      <c r="K24" s="1206"/>
      <c r="L24" s="1206"/>
      <c r="M24" s="1206"/>
      <c r="N24" s="1206"/>
      <c r="O24" s="1206"/>
      <c r="P24" s="1206"/>
      <c r="Q24" s="1206"/>
      <c r="R24" s="1206"/>
      <c r="S24" s="1206"/>
      <c r="T24" s="1206"/>
      <c r="U24" s="1206"/>
      <c r="V24" s="1206"/>
      <c r="W24" s="1207"/>
      <c r="X24" s="14"/>
      <c r="Y24" s="1205" t="str">
        <f>IF('Données - ICI'!AD293="","",'Données - ICI'!AD293)</f>
        <v/>
      </c>
      <c r="Z24" s="1206"/>
      <c r="AA24" s="1206"/>
      <c r="AB24" s="1206"/>
      <c r="AC24" s="1206"/>
      <c r="AD24" s="1206"/>
      <c r="AE24" s="1206"/>
      <c r="AF24" s="1206"/>
      <c r="AG24" s="1206"/>
      <c r="AH24" s="1206"/>
      <c r="AI24" s="1206"/>
      <c r="AJ24" s="1206"/>
      <c r="AK24" s="1206"/>
      <c r="AL24" s="1206"/>
      <c r="AM24" s="1206"/>
      <c r="AN24" s="1206"/>
      <c r="AO24" s="1207"/>
      <c r="AP24" s="14"/>
      <c r="AQ24" s="1205" t="str">
        <f>IF('Données - ICI'!AV293="","",'Données - ICI'!AV293)</f>
        <v/>
      </c>
      <c r="AR24" s="1206"/>
      <c r="AS24" s="1206"/>
      <c r="AT24" s="1206"/>
      <c r="AU24" s="1206"/>
      <c r="AV24" s="1206"/>
      <c r="AW24" s="1206"/>
      <c r="AX24" s="1207"/>
    </row>
    <row r="25" spans="3:50" x14ac:dyDescent="0.25">
      <c r="C25" s="1208" t="str">
        <f>IF('Données - ICI'!H294="","",'Données - ICI'!H294)</f>
        <v/>
      </c>
      <c r="D25" s="1209"/>
      <c r="E25" s="1209"/>
      <c r="F25" s="1209"/>
      <c r="G25" s="1209"/>
      <c r="H25" s="1210"/>
      <c r="I25" s="14"/>
      <c r="J25" s="1205" t="str">
        <f>IF('Données - ICI'!O294="","",'Données - ICI'!O294)</f>
        <v/>
      </c>
      <c r="K25" s="1206"/>
      <c r="L25" s="1206"/>
      <c r="M25" s="1206"/>
      <c r="N25" s="1206"/>
      <c r="O25" s="1206"/>
      <c r="P25" s="1206"/>
      <c r="Q25" s="1206"/>
      <c r="R25" s="1206"/>
      <c r="S25" s="1206"/>
      <c r="T25" s="1206"/>
      <c r="U25" s="1206"/>
      <c r="V25" s="1206"/>
      <c r="W25" s="1207"/>
      <c r="X25" s="14"/>
      <c r="Y25" s="1205" t="str">
        <f>IF('Données - ICI'!AD294="","",'Données - ICI'!AD294)</f>
        <v/>
      </c>
      <c r="Z25" s="1206"/>
      <c r="AA25" s="1206"/>
      <c r="AB25" s="1206"/>
      <c r="AC25" s="1206"/>
      <c r="AD25" s="1206"/>
      <c r="AE25" s="1206"/>
      <c r="AF25" s="1206"/>
      <c r="AG25" s="1206"/>
      <c r="AH25" s="1206"/>
      <c r="AI25" s="1206"/>
      <c r="AJ25" s="1206"/>
      <c r="AK25" s="1206"/>
      <c r="AL25" s="1206"/>
      <c r="AM25" s="1206"/>
      <c r="AN25" s="1206"/>
      <c r="AO25" s="1207"/>
      <c r="AP25" s="14"/>
      <c r="AQ25" s="1205" t="str">
        <f>IF('Données - ICI'!AV294="","",'Données - ICI'!AV294)</f>
        <v/>
      </c>
      <c r="AR25" s="1206"/>
      <c r="AS25" s="1206"/>
      <c r="AT25" s="1206"/>
      <c r="AU25" s="1206"/>
      <c r="AV25" s="1206"/>
      <c r="AW25" s="1206"/>
      <c r="AX25" s="1207"/>
    </row>
    <row r="26" spans="3:50" x14ac:dyDescent="0.25">
      <c r="C26" s="1208" t="str">
        <f>IF('Données - ICI'!H295="","",'Données - ICI'!H295)</f>
        <v/>
      </c>
      <c r="D26" s="1209"/>
      <c r="E26" s="1209"/>
      <c r="F26" s="1209"/>
      <c r="G26" s="1209"/>
      <c r="H26" s="1210"/>
      <c r="I26" s="14"/>
      <c r="J26" s="1205" t="str">
        <f>IF('Données - ICI'!O295="","",'Données - ICI'!O295)</f>
        <v/>
      </c>
      <c r="K26" s="1206"/>
      <c r="L26" s="1206"/>
      <c r="M26" s="1206"/>
      <c r="N26" s="1206"/>
      <c r="O26" s="1206"/>
      <c r="P26" s="1206"/>
      <c r="Q26" s="1206"/>
      <c r="R26" s="1206"/>
      <c r="S26" s="1206"/>
      <c r="T26" s="1206"/>
      <c r="U26" s="1206"/>
      <c r="V26" s="1206"/>
      <c r="W26" s="1207"/>
      <c r="X26" s="14"/>
      <c r="Y26" s="1205" t="str">
        <f>IF('Données - ICI'!AD295="","",'Données - ICI'!AD295)</f>
        <v/>
      </c>
      <c r="Z26" s="1206"/>
      <c r="AA26" s="1206"/>
      <c r="AB26" s="1206"/>
      <c r="AC26" s="1206"/>
      <c r="AD26" s="1206"/>
      <c r="AE26" s="1206"/>
      <c r="AF26" s="1206"/>
      <c r="AG26" s="1206"/>
      <c r="AH26" s="1206"/>
      <c r="AI26" s="1206"/>
      <c r="AJ26" s="1206"/>
      <c r="AK26" s="1206"/>
      <c r="AL26" s="1206"/>
      <c r="AM26" s="1206"/>
      <c r="AN26" s="1206"/>
      <c r="AO26" s="1207"/>
      <c r="AP26" s="14"/>
      <c r="AQ26" s="1205" t="str">
        <f>IF('Données - ICI'!AV295="","",'Données - ICI'!AV295)</f>
        <v/>
      </c>
      <c r="AR26" s="1206"/>
      <c r="AS26" s="1206"/>
      <c r="AT26" s="1206"/>
      <c r="AU26" s="1206"/>
      <c r="AV26" s="1206"/>
      <c r="AW26" s="1206"/>
      <c r="AX26" s="1207"/>
    </row>
    <row r="27" spans="3:50" x14ac:dyDescent="0.25">
      <c r="C27" s="1208" t="str">
        <f>IF('Données - ICI'!H296="","",'Données - ICI'!H296)</f>
        <v/>
      </c>
      <c r="D27" s="1209"/>
      <c r="E27" s="1209"/>
      <c r="F27" s="1209"/>
      <c r="G27" s="1209"/>
      <c r="H27" s="1210"/>
      <c r="I27" s="14"/>
      <c r="J27" s="1205" t="str">
        <f>IF('Données - ICI'!O296="","",'Données - ICI'!O296)</f>
        <v/>
      </c>
      <c r="K27" s="1206"/>
      <c r="L27" s="1206"/>
      <c r="M27" s="1206"/>
      <c r="N27" s="1206"/>
      <c r="O27" s="1206"/>
      <c r="P27" s="1206"/>
      <c r="Q27" s="1206"/>
      <c r="R27" s="1206"/>
      <c r="S27" s="1206"/>
      <c r="T27" s="1206"/>
      <c r="U27" s="1206"/>
      <c r="V27" s="1206"/>
      <c r="W27" s="1207"/>
      <c r="X27" s="14"/>
      <c r="Y27" s="1205" t="str">
        <f>IF('Données - ICI'!AD296="","",'Données - ICI'!AD296)</f>
        <v/>
      </c>
      <c r="Z27" s="1206"/>
      <c r="AA27" s="1206"/>
      <c r="AB27" s="1206"/>
      <c r="AC27" s="1206"/>
      <c r="AD27" s="1206"/>
      <c r="AE27" s="1206"/>
      <c r="AF27" s="1206"/>
      <c r="AG27" s="1206"/>
      <c r="AH27" s="1206"/>
      <c r="AI27" s="1206"/>
      <c r="AJ27" s="1206"/>
      <c r="AK27" s="1206"/>
      <c r="AL27" s="1206"/>
      <c r="AM27" s="1206"/>
      <c r="AN27" s="1206"/>
      <c r="AO27" s="1207"/>
      <c r="AP27" s="14"/>
      <c r="AQ27" s="1205" t="str">
        <f>IF('Données - ICI'!AV296="","",'Données - ICI'!AV296)</f>
        <v/>
      </c>
      <c r="AR27" s="1206"/>
      <c r="AS27" s="1206"/>
      <c r="AT27" s="1206"/>
      <c r="AU27" s="1206"/>
      <c r="AV27" s="1206"/>
      <c r="AW27" s="1206"/>
      <c r="AX27" s="1207"/>
    </row>
    <row r="28" spans="3:50" x14ac:dyDescent="0.25">
      <c r="C28" s="1208" t="str">
        <f>IF('Données - ICI'!H297="","",'Données - ICI'!H297)</f>
        <v/>
      </c>
      <c r="D28" s="1209"/>
      <c r="E28" s="1209"/>
      <c r="F28" s="1209"/>
      <c r="G28" s="1209"/>
      <c r="H28" s="1210"/>
      <c r="I28" s="14"/>
      <c r="J28" s="1205" t="str">
        <f>IF('Données - ICI'!O297="","",'Données - ICI'!O297)</f>
        <v/>
      </c>
      <c r="K28" s="1206"/>
      <c r="L28" s="1206"/>
      <c r="M28" s="1206"/>
      <c r="N28" s="1206"/>
      <c r="O28" s="1206"/>
      <c r="P28" s="1206"/>
      <c r="Q28" s="1206"/>
      <c r="R28" s="1206"/>
      <c r="S28" s="1206"/>
      <c r="T28" s="1206"/>
      <c r="U28" s="1206"/>
      <c r="V28" s="1206"/>
      <c r="W28" s="1207"/>
      <c r="X28" s="14"/>
      <c r="Y28" s="1205" t="str">
        <f>IF('Données - ICI'!AD297="","",'Données - ICI'!AD297)</f>
        <v/>
      </c>
      <c r="Z28" s="1206"/>
      <c r="AA28" s="1206"/>
      <c r="AB28" s="1206"/>
      <c r="AC28" s="1206"/>
      <c r="AD28" s="1206"/>
      <c r="AE28" s="1206"/>
      <c r="AF28" s="1206"/>
      <c r="AG28" s="1206"/>
      <c r="AH28" s="1206"/>
      <c r="AI28" s="1206"/>
      <c r="AJ28" s="1206"/>
      <c r="AK28" s="1206"/>
      <c r="AL28" s="1206"/>
      <c r="AM28" s="1206"/>
      <c r="AN28" s="1206"/>
      <c r="AO28" s="1207"/>
      <c r="AP28" s="14"/>
      <c r="AQ28" s="1205" t="str">
        <f>IF('Données - ICI'!AV297="","",'Données - ICI'!AV297)</f>
        <v/>
      </c>
      <c r="AR28" s="1206"/>
      <c r="AS28" s="1206"/>
      <c r="AT28" s="1206"/>
      <c r="AU28" s="1206"/>
      <c r="AV28" s="1206"/>
      <c r="AW28" s="1206"/>
      <c r="AX28" s="1207"/>
    </row>
    <row r="30" spans="3:50" ht="15.75" x14ac:dyDescent="0.25">
      <c r="C30" s="12" t="s">
        <v>334</v>
      </c>
    </row>
    <row r="31" spans="3:50" x14ac:dyDescent="0.25">
      <c r="C31" s="811" t="str">
        <f>C5</f>
        <v>Année de la source</v>
      </c>
      <c r="D31" s="811"/>
      <c r="E31" s="811"/>
      <c r="F31" s="811"/>
      <c r="G31" s="811"/>
      <c r="H31" s="811"/>
      <c r="I31" s="14"/>
      <c r="J31" s="1106" t="str">
        <f>J5</f>
        <v>Auteur</v>
      </c>
      <c r="K31" s="1106"/>
      <c r="L31" s="1106"/>
      <c r="M31" s="1106"/>
      <c r="N31" s="1106"/>
      <c r="O31" s="1106"/>
      <c r="P31" s="1106"/>
      <c r="Q31" s="1106"/>
      <c r="R31" s="1106"/>
      <c r="S31" s="1106"/>
      <c r="T31" s="1106"/>
      <c r="U31" s="1106"/>
      <c r="V31" s="1106"/>
      <c r="W31" s="1106"/>
      <c r="Y31" s="1106" t="str">
        <f>Y5</f>
        <v>Titre</v>
      </c>
      <c r="Z31" s="1106"/>
      <c r="AA31" s="1106"/>
      <c r="AB31" s="1106"/>
      <c r="AC31" s="1106"/>
      <c r="AD31" s="1106"/>
      <c r="AE31" s="1106"/>
      <c r="AF31" s="1106"/>
      <c r="AG31" s="1106"/>
      <c r="AH31" s="1106"/>
      <c r="AI31" s="1106"/>
      <c r="AJ31" s="1106"/>
      <c r="AK31" s="1106"/>
      <c r="AL31" s="1106"/>
      <c r="AM31" s="1106"/>
      <c r="AN31" s="1106"/>
      <c r="AO31" s="1106"/>
      <c r="AQ31" s="1106" t="str">
        <f>AQ5</f>
        <v>Utilisées dans la section :</v>
      </c>
      <c r="AR31" s="1106"/>
      <c r="AS31" s="1106"/>
      <c r="AT31" s="1106"/>
      <c r="AU31" s="1106"/>
      <c r="AV31" s="1106"/>
      <c r="AW31" s="1106"/>
      <c r="AX31" s="1106"/>
    </row>
    <row r="32" spans="3:50" x14ac:dyDescent="0.25">
      <c r="C32" s="1208" t="str">
        <f>IF('Données - CRD'!H36="","",'Données - CRD'!H36)</f>
        <v/>
      </c>
      <c r="D32" s="1209"/>
      <c r="E32" s="1209"/>
      <c r="F32" s="1209"/>
      <c r="G32" s="1209"/>
      <c r="H32" s="1210"/>
      <c r="I32" s="14"/>
      <c r="J32" s="1205" t="str">
        <f>IF('Données - CRD'!O36="","",'Données - CRD'!O36)</f>
        <v/>
      </c>
      <c r="K32" s="1206"/>
      <c r="L32" s="1206"/>
      <c r="M32" s="1206"/>
      <c r="N32" s="1206"/>
      <c r="O32" s="1206"/>
      <c r="P32" s="1206"/>
      <c r="Q32" s="1206"/>
      <c r="R32" s="1206"/>
      <c r="S32" s="1206"/>
      <c r="T32" s="1206"/>
      <c r="U32" s="1206"/>
      <c r="V32" s="1206"/>
      <c r="W32" s="1207"/>
      <c r="X32" s="14"/>
      <c r="Y32" s="1205" t="str">
        <f>IF('Données - CRD'!AD36="","",'Données - CRD'!AD36)</f>
        <v/>
      </c>
      <c r="Z32" s="1206"/>
      <c r="AA32" s="1206"/>
      <c r="AB32" s="1206"/>
      <c r="AC32" s="1206"/>
      <c r="AD32" s="1206"/>
      <c r="AE32" s="1206"/>
      <c r="AF32" s="1206"/>
      <c r="AG32" s="1206"/>
      <c r="AH32" s="1206"/>
      <c r="AI32" s="1206"/>
      <c r="AJ32" s="1206"/>
      <c r="AK32" s="1206"/>
      <c r="AL32" s="1206"/>
      <c r="AM32" s="1206"/>
      <c r="AN32" s="1206"/>
      <c r="AO32" s="1207"/>
      <c r="AP32" s="14"/>
      <c r="AQ32" s="1205" t="str">
        <f>IF('Données - CRD'!BA36="","",'Données - CRD'!BA36)</f>
        <v/>
      </c>
      <c r="AR32" s="1206"/>
      <c r="AS32" s="1206"/>
      <c r="AT32" s="1206"/>
      <c r="AU32" s="1206"/>
      <c r="AV32" s="1206"/>
      <c r="AW32" s="1206"/>
      <c r="AX32" s="1207"/>
    </row>
    <row r="33" spans="3:50" x14ac:dyDescent="0.25">
      <c r="C33" s="1211" t="str">
        <f>IF('Données - CRD'!H37="","",'Données - CRD'!H37)</f>
        <v/>
      </c>
      <c r="D33" s="1211"/>
      <c r="E33" s="1211"/>
      <c r="F33" s="1211"/>
      <c r="G33" s="1211"/>
      <c r="H33" s="1211"/>
      <c r="I33" s="14"/>
      <c r="J33" s="1205" t="str">
        <f>IF('Données - CRD'!O37="","",'Données - CRD'!O37)</f>
        <v/>
      </c>
      <c r="K33" s="1206"/>
      <c r="L33" s="1206"/>
      <c r="M33" s="1206"/>
      <c r="N33" s="1206"/>
      <c r="O33" s="1206"/>
      <c r="P33" s="1206"/>
      <c r="Q33" s="1206"/>
      <c r="R33" s="1206"/>
      <c r="S33" s="1206"/>
      <c r="T33" s="1206"/>
      <c r="U33" s="1206"/>
      <c r="V33" s="1206"/>
      <c r="W33" s="1207"/>
      <c r="X33" s="14"/>
      <c r="Y33" s="1205" t="str">
        <f>IF('Données - CRD'!AD37="","",'Données - CRD'!AD37)</f>
        <v/>
      </c>
      <c r="Z33" s="1206"/>
      <c r="AA33" s="1206"/>
      <c r="AB33" s="1206"/>
      <c r="AC33" s="1206"/>
      <c r="AD33" s="1206"/>
      <c r="AE33" s="1206"/>
      <c r="AF33" s="1206"/>
      <c r="AG33" s="1206"/>
      <c r="AH33" s="1206"/>
      <c r="AI33" s="1206"/>
      <c r="AJ33" s="1206"/>
      <c r="AK33" s="1206"/>
      <c r="AL33" s="1206"/>
      <c r="AM33" s="1206"/>
      <c r="AN33" s="1206"/>
      <c r="AO33" s="1207"/>
      <c r="AP33" s="14"/>
      <c r="AQ33" s="1205" t="str">
        <f>IF('Données - CRD'!BA37="","",'Données - CRD'!BA37)</f>
        <v/>
      </c>
      <c r="AR33" s="1206"/>
      <c r="AS33" s="1206"/>
      <c r="AT33" s="1206"/>
      <c r="AU33" s="1206"/>
      <c r="AV33" s="1206"/>
      <c r="AW33" s="1206"/>
      <c r="AX33" s="1207"/>
    </row>
    <row r="34" spans="3:50" x14ac:dyDescent="0.25">
      <c r="C34" s="1211" t="str">
        <f>IF('Données - CRD'!H38="","",'Données - CRD'!H38)</f>
        <v/>
      </c>
      <c r="D34" s="1211"/>
      <c r="E34" s="1211"/>
      <c r="F34" s="1211"/>
      <c r="G34" s="1211"/>
      <c r="H34" s="1211"/>
      <c r="I34" s="14"/>
      <c r="J34" s="1205" t="str">
        <f>IF('Données - CRD'!O38="","",'Données - CRD'!O38)</f>
        <v/>
      </c>
      <c r="K34" s="1206"/>
      <c r="L34" s="1206"/>
      <c r="M34" s="1206"/>
      <c r="N34" s="1206"/>
      <c r="O34" s="1206"/>
      <c r="P34" s="1206"/>
      <c r="Q34" s="1206"/>
      <c r="R34" s="1206"/>
      <c r="S34" s="1206"/>
      <c r="T34" s="1206"/>
      <c r="U34" s="1206"/>
      <c r="V34" s="1206"/>
      <c r="W34" s="1207"/>
      <c r="X34" s="14"/>
      <c r="Y34" s="1205" t="str">
        <f>IF('Données - CRD'!AD38="","",'Données - CRD'!AD38)</f>
        <v/>
      </c>
      <c r="Z34" s="1206"/>
      <c r="AA34" s="1206"/>
      <c r="AB34" s="1206"/>
      <c r="AC34" s="1206"/>
      <c r="AD34" s="1206"/>
      <c r="AE34" s="1206"/>
      <c r="AF34" s="1206"/>
      <c r="AG34" s="1206"/>
      <c r="AH34" s="1206"/>
      <c r="AI34" s="1206"/>
      <c r="AJ34" s="1206"/>
      <c r="AK34" s="1206"/>
      <c r="AL34" s="1206"/>
      <c r="AM34" s="1206"/>
      <c r="AN34" s="1206"/>
      <c r="AO34" s="1207"/>
      <c r="AP34" s="14"/>
      <c r="AQ34" s="1205" t="str">
        <f>IF('Données - CRD'!BA38="","",'Données - CRD'!BA38)</f>
        <v/>
      </c>
      <c r="AR34" s="1206"/>
      <c r="AS34" s="1206"/>
      <c r="AT34" s="1206"/>
      <c r="AU34" s="1206"/>
      <c r="AV34" s="1206"/>
      <c r="AW34" s="1206"/>
      <c r="AX34" s="1207"/>
    </row>
    <row r="35" spans="3:50" x14ac:dyDescent="0.25">
      <c r="C35" s="1211" t="str">
        <f>IF('Données - CRD'!H39="","",'Données - CRD'!H39)</f>
        <v/>
      </c>
      <c r="D35" s="1211"/>
      <c r="E35" s="1211"/>
      <c r="F35" s="1211"/>
      <c r="G35" s="1211"/>
      <c r="H35" s="1211"/>
      <c r="I35" s="14"/>
      <c r="J35" s="1205" t="str">
        <f>IF('Données - CRD'!O39="","",'Données - CRD'!O39)</f>
        <v/>
      </c>
      <c r="K35" s="1206"/>
      <c r="L35" s="1206"/>
      <c r="M35" s="1206"/>
      <c r="N35" s="1206"/>
      <c r="O35" s="1206"/>
      <c r="P35" s="1206"/>
      <c r="Q35" s="1206"/>
      <c r="R35" s="1206"/>
      <c r="S35" s="1206"/>
      <c r="T35" s="1206"/>
      <c r="U35" s="1206"/>
      <c r="V35" s="1206"/>
      <c r="W35" s="1207"/>
      <c r="X35" s="14"/>
      <c r="Y35" s="1205" t="str">
        <f>IF('Données - CRD'!AD39="","",'Données - CRD'!AD39)</f>
        <v/>
      </c>
      <c r="Z35" s="1206"/>
      <c r="AA35" s="1206"/>
      <c r="AB35" s="1206"/>
      <c r="AC35" s="1206"/>
      <c r="AD35" s="1206"/>
      <c r="AE35" s="1206"/>
      <c r="AF35" s="1206"/>
      <c r="AG35" s="1206"/>
      <c r="AH35" s="1206"/>
      <c r="AI35" s="1206"/>
      <c r="AJ35" s="1206"/>
      <c r="AK35" s="1206"/>
      <c r="AL35" s="1206"/>
      <c r="AM35" s="1206"/>
      <c r="AN35" s="1206"/>
      <c r="AO35" s="1207"/>
      <c r="AP35" s="14"/>
      <c r="AQ35" s="1205" t="str">
        <f>IF('Données - CRD'!BA39="","",'Données - CRD'!BA39)</f>
        <v/>
      </c>
      <c r="AR35" s="1206"/>
      <c r="AS35" s="1206"/>
      <c r="AT35" s="1206"/>
      <c r="AU35" s="1206"/>
      <c r="AV35" s="1206"/>
      <c r="AW35" s="1206"/>
      <c r="AX35" s="1207"/>
    </row>
    <row r="36" spans="3:50" x14ac:dyDescent="0.25">
      <c r="C36" s="1211" t="str">
        <f>IF('Données - CRD'!H40="","",'Données - CRD'!H40)</f>
        <v/>
      </c>
      <c r="D36" s="1211"/>
      <c r="E36" s="1211"/>
      <c r="F36" s="1211"/>
      <c r="G36" s="1211"/>
      <c r="H36" s="1211"/>
      <c r="I36" s="14"/>
      <c r="J36" s="1205" t="str">
        <f>IF('Données - CRD'!O40="","",'Données - CRD'!O40)</f>
        <v/>
      </c>
      <c r="K36" s="1206"/>
      <c r="L36" s="1206"/>
      <c r="M36" s="1206"/>
      <c r="N36" s="1206"/>
      <c r="O36" s="1206"/>
      <c r="P36" s="1206"/>
      <c r="Q36" s="1206"/>
      <c r="R36" s="1206"/>
      <c r="S36" s="1206"/>
      <c r="T36" s="1206"/>
      <c r="U36" s="1206"/>
      <c r="V36" s="1206"/>
      <c r="W36" s="1207"/>
      <c r="X36" s="14"/>
      <c r="Y36" s="1205" t="str">
        <f>IF('Données - CRD'!AD40="","",'Données - CRD'!AD40)</f>
        <v/>
      </c>
      <c r="Z36" s="1206"/>
      <c r="AA36" s="1206"/>
      <c r="AB36" s="1206"/>
      <c r="AC36" s="1206"/>
      <c r="AD36" s="1206"/>
      <c r="AE36" s="1206"/>
      <c r="AF36" s="1206"/>
      <c r="AG36" s="1206"/>
      <c r="AH36" s="1206"/>
      <c r="AI36" s="1206"/>
      <c r="AJ36" s="1206"/>
      <c r="AK36" s="1206"/>
      <c r="AL36" s="1206"/>
      <c r="AM36" s="1206"/>
      <c r="AN36" s="1206"/>
      <c r="AO36" s="1207"/>
      <c r="AP36" s="14"/>
      <c r="AQ36" s="1205" t="str">
        <f>IF('Données - CRD'!BA40="","",'Données - CRD'!BA40)</f>
        <v/>
      </c>
      <c r="AR36" s="1206"/>
      <c r="AS36" s="1206"/>
      <c r="AT36" s="1206"/>
      <c r="AU36" s="1206"/>
      <c r="AV36" s="1206"/>
      <c r="AW36" s="1206"/>
      <c r="AX36" s="1207"/>
    </row>
    <row r="37" spans="3:50" x14ac:dyDescent="0.25">
      <c r="C37" s="1211" t="str">
        <f>IF('Données - CRD'!H41="","",'Données - CRD'!H41)</f>
        <v/>
      </c>
      <c r="D37" s="1211"/>
      <c r="E37" s="1211"/>
      <c r="F37" s="1211"/>
      <c r="G37" s="1211"/>
      <c r="H37" s="1211"/>
      <c r="I37" s="14"/>
      <c r="J37" s="1205" t="str">
        <f>IF('Données - CRD'!O41="","",'Données - CRD'!O41)</f>
        <v/>
      </c>
      <c r="K37" s="1206"/>
      <c r="L37" s="1206"/>
      <c r="M37" s="1206"/>
      <c r="N37" s="1206"/>
      <c r="O37" s="1206"/>
      <c r="P37" s="1206"/>
      <c r="Q37" s="1206"/>
      <c r="R37" s="1206"/>
      <c r="S37" s="1206"/>
      <c r="T37" s="1206"/>
      <c r="U37" s="1206"/>
      <c r="V37" s="1206"/>
      <c r="W37" s="1207"/>
      <c r="X37" s="14"/>
      <c r="Y37" s="1205" t="str">
        <f>IF('Données - CRD'!AD41="","",'Données - CRD'!AD41)</f>
        <v/>
      </c>
      <c r="Z37" s="1206"/>
      <c r="AA37" s="1206"/>
      <c r="AB37" s="1206"/>
      <c r="AC37" s="1206"/>
      <c r="AD37" s="1206"/>
      <c r="AE37" s="1206"/>
      <c r="AF37" s="1206"/>
      <c r="AG37" s="1206"/>
      <c r="AH37" s="1206"/>
      <c r="AI37" s="1206"/>
      <c r="AJ37" s="1206"/>
      <c r="AK37" s="1206"/>
      <c r="AL37" s="1206"/>
      <c r="AM37" s="1206"/>
      <c r="AN37" s="1206"/>
      <c r="AO37" s="1207"/>
      <c r="AP37" s="14"/>
      <c r="AQ37" s="1205" t="str">
        <f>IF('Données - CRD'!BA41="","",'Données - CRD'!BA41)</f>
        <v/>
      </c>
      <c r="AR37" s="1206"/>
      <c r="AS37" s="1206"/>
      <c r="AT37" s="1206"/>
      <c r="AU37" s="1206"/>
      <c r="AV37" s="1206"/>
      <c r="AW37" s="1206"/>
      <c r="AX37" s="1207"/>
    </row>
    <row r="38" spans="3:50" x14ac:dyDescent="0.25">
      <c r="C38" s="1211" t="str">
        <f>IF('Données - CRD'!H42="","",'Données - CRD'!H42)</f>
        <v/>
      </c>
      <c r="D38" s="1211"/>
      <c r="E38" s="1211"/>
      <c r="F38" s="1211"/>
      <c r="G38" s="1211"/>
      <c r="H38" s="1211"/>
      <c r="I38" s="14"/>
      <c r="J38" s="1205" t="str">
        <f>IF('Données - CRD'!O42="","",'Données - CRD'!O42)</f>
        <v/>
      </c>
      <c r="K38" s="1206"/>
      <c r="L38" s="1206"/>
      <c r="M38" s="1206"/>
      <c r="N38" s="1206"/>
      <c r="O38" s="1206"/>
      <c r="P38" s="1206"/>
      <c r="Q38" s="1206"/>
      <c r="R38" s="1206"/>
      <c r="S38" s="1206"/>
      <c r="T38" s="1206"/>
      <c r="U38" s="1206"/>
      <c r="V38" s="1206"/>
      <c r="W38" s="1207"/>
      <c r="X38" s="14"/>
      <c r="Y38" s="1205" t="str">
        <f>IF('Données - CRD'!AD42="","",'Données - CRD'!AD42)</f>
        <v/>
      </c>
      <c r="Z38" s="1206"/>
      <c r="AA38" s="1206"/>
      <c r="AB38" s="1206"/>
      <c r="AC38" s="1206"/>
      <c r="AD38" s="1206"/>
      <c r="AE38" s="1206"/>
      <c r="AF38" s="1206"/>
      <c r="AG38" s="1206"/>
      <c r="AH38" s="1206"/>
      <c r="AI38" s="1206"/>
      <c r="AJ38" s="1206"/>
      <c r="AK38" s="1206"/>
      <c r="AL38" s="1206"/>
      <c r="AM38" s="1206"/>
      <c r="AN38" s="1206"/>
      <c r="AO38" s="1207"/>
      <c r="AP38" s="14"/>
      <c r="AQ38" s="1205" t="str">
        <f>IF('Données - CRD'!BA42="","",'Données - CRD'!BA42)</f>
        <v/>
      </c>
      <c r="AR38" s="1206"/>
      <c r="AS38" s="1206"/>
      <c r="AT38" s="1206"/>
      <c r="AU38" s="1206"/>
      <c r="AV38" s="1206"/>
      <c r="AW38" s="1206"/>
      <c r="AX38" s="1207"/>
    </row>
    <row r="39" spans="3:50" x14ac:dyDescent="0.25">
      <c r="C39" s="1211" t="str">
        <f>IF('Données - CRD'!H43="","",'Données - CRD'!H43)</f>
        <v/>
      </c>
      <c r="D39" s="1211"/>
      <c r="E39" s="1211"/>
      <c r="F39" s="1211"/>
      <c r="G39" s="1211"/>
      <c r="H39" s="1211"/>
      <c r="I39" s="14"/>
      <c r="J39" s="1205" t="str">
        <f>IF('Données - CRD'!O43="","",'Données - CRD'!O43)</f>
        <v/>
      </c>
      <c r="K39" s="1206"/>
      <c r="L39" s="1206"/>
      <c r="M39" s="1206"/>
      <c r="N39" s="1206"/>
      <c r="O39" s="1206"/>
      <c r="P39" s="1206"/>
      <c r="Q39" s="1206"/>
      <c r="R39" s="1206"/>
      <c r="S39" s="1206"/>
      <c r="T39" s="1206"/>
      <c r="U39" s="1206"/>
      <c r="V39" s="1206"/>
      <c r="W39" s="1207"/>
      <c r="X39" s="14"/>
      <c r="Y39" s="1205" t="str">
        <f>IF('Données - CRD'!AD43="","",'Données - CRD'!AD43)</f>
        <v/>
      </c>
      <c r="Z39" s="1206"/>
      <c r="AA39" s="1206"/>
      <c r="AB39" s="1206"/>
      <c r="AC39" s="1206"/>
      <c r="AD39" s="1206"/>
      <c r="AE39" s="1206"/>
      <c r="AF39" s="1206"/>
      <c r="AG39" s="1206"/>
      <c r="AH39" s="1206"/>
      <c r="AI39" s="1206"/>
      <c r="AJ39" s="1206"/>
      <c r="AK39" s="1206"/>
      <c r="AL39" s="1206"/>
      <c r="AM39" s="1206"/>
      <c r="AN39" s="1206"/>
      <c r="AO39" s="1207"/>
      <c r="AP39" s="14"/>
      <c r="AQ39" s="1205" t="str">
        <f>IF('Données - CRD'!BA43="","",'Données - CRD'!BA43)</f>
        <v/>
      </c>
      <c r="AR39" s="1206"/>
      <c r="AS39" s="1206"/>
      <c r="AT39" s="1206"/>
      <c r="AU39" s="1206"/>
      <c r="AV39" s="1206"/>
      <c r="AW39" s="1206"/>
      <c r="AX39" s="1207"/>
    </row>
    <row r="40" spans="3:50" x14ac:dyDescent="0.25">
      <c r="C40" s="1211" t="str">
        <f>IF('Données - CRD'!H44="","",'Données - CRD'!H44)</f>
        <v/>
      </c>
      <c r="D40" s="1211"/>
      <c r="E40" s="1211"/>
      <c r="F40" s="1211"/>
      <c r="G40" s="1211"/>
      <c r="H40" s="1211"/>
      <c r="I40" s="14"/>
      <c r="J40" s="1205" t="str">
        <f>IF('Données - CRD'!O44="","",'Données - CRD'!O44)</f>
        <v/>
      </c>
      <c r="K40" s="1206"/>
      <c r="L40" s="1206"/>
      <c r="M40" s="1206"/>
      <c r="N40" s="1206"/>
      <c r="O40" s="1206"/>
      <c r="P40" s="1206"/>
      <c r="Q40" s="1206"/>
      <c r="R40" s="1206"/>
      <c r="S40" s="1206"/>
      <c r="T40" s="1206"/>
      <c r="U40" s="1206"/>
      <c r="V40" s="1206"/>
      <c r="W40" s="1207"/>
      <c r="X40" s="14"/>
      <c r="Y40" s="1205" t="str">
        <f>IF('Données - CRD'!AD44="","",'Données - CRD'!AD44)</f>
        <v/>
      </c>
      <c r="Z40" s="1206"/>
      <c r="AA40" s="1206"/>
      <c r="AB40" s="1206"/>
      <c r="AC40" s="1206"/>
      <c r="AD40" s="1206"/>
      <c r="AE40" s="1206"/>
      <c r="AF40" s="1206"/>
      <c r="AG40" s="1206"/>
      <c r="AH40" s="1206"/>
      <c r="AI40" s="1206"/>
      <c r="AJ40" s="1206"/>
      <c r="AK40" s="1206"/>
      <c r="AL40" s="1206"/>
      <c r="AM40" s="1206"/>
      <c r="AN40" s="1206"/>
      <c r="AO40" s="1207"/>
      <c r="AP40" s="14"/>
      <c r="AQ40" s="1205" t="str">
        <f>IF('Données - CRD'!BA44="","",'Données - CRD'!BA44)</f>
        <v/>
      </c>
      <c r="AR40" s="1206"/>
      <c r="AS40" s="1206"/>
      <c r="AT40" s="1206"/>
      <c r="AU40" s="1206"/>
      <c r="AV40" s="1206"/>
      <c r="AW40" s="1206"/>
      <c r="AX40" s="1207"/>
    </row>
    <row r="41" spans="3:50" x14ac:dyDescent="0.25">
      <c r="C41" s="1211" t="str">
        <f>IF('Données - CRD'!H45="","",'Données - CRD'!H45)</f>
        <v/>
      </c>
      <c r="D41" s="1211"/>
      <c r="E41" s="1211"/>
      <c r="F41" s="1211"/>
      <c r="G41" s="1211"/>
      <c r="H41" s="1211"/>
      <c r="I41" s="14"/>
      <c r="J41" s="1205" t="str">
        <f>IF('Données - CRD'!O45="","",'Données - CRD'!O45)</f>
        <v/>
      </c>
      <c r="K41" s="1206"/>
      <c r="L41" s="1206"/>
      <c r="M41" s="1206"/>
      <c r="N41" s="1206"/>
      <c r="O41" s="1206"/>
      <c r="P41" s="1206"/>
      <c r="Q41" s="1206"/>
      <c r="R41" s="1206"/>
      <c r="S41" s="1206"/>
      <c r="T41" s="1206"/>
      <c r="U41" s="1206"/>
      <c r="V41" s="1206"/>
      <c r="W41" s="1207"/>
      <c r="X41" s="14"/>
      <c r="Y41" s="1205" t="str">
        <f>IF('Données - CRD'!AD45="","",'Données - CRD'!AD45)</f>
        <v/>
      </c>
      <c r="Z41" s="1206"/>
      <c r="AA41" s="1206"/>
      <c r="AB41" s="1206"/>
      <c r="AC41" s="1206"/>
      <c r="AD41" s="1206"/>
      <c r="AE41" s="1206"/>
      <c r="AF41" s="1206"/>
      <c r="AG41" s="1206"/>
      <c r="AH41" s="1206"/>
      <c r="AI41" s="1206"/>
      <c r="AJ41" s="1206"/>
      <c r="AK41" s="1206"/>
      <c r="AL41" s="1206"/>
      <c r="AM41" s="1206"/>
      <c r="AN41" s="1206"/>
      <c r="AO41" s="1207"/>
      <c r="AP41" s="14"/>
      <c r="AQ41" s="1205" t="str">
        <f>IF('Données - CRD'!BA45="","",'Données - CRD'!BA45)</f>
        <v/>
      </c>
      <c r="AR41" s="1206"/>
      <c r="AS41" s="1206"/>
      <c r="AT41" s="1206"/>
      <c r="AU41" s="1206"/>
      <c r="AV41" s="1206"/>
      <c r="AW41" s="1206"/>
      <c r="AX41" s="1207"/>
    </row>
  </sheetData>
  <sheetProtection algorithmName="SHA-512" hashValue="Ek6HQdNPH6ZXjRmxMtOkrQIYES1Gkal3NBnZIWNjAhSFbgtSoQfQNbV+rXDUtIOv6dmQqGtlks9q+CU+K+958A==" saltValue="6mng+9Wf+o888281LvBp4g==" spinCount="100000" sheet="1" objects="1" scenarios="1"/>
  <mergeCells count="132">
    <mergeCell ref="C38:H38"/>
    <mergeCell ref="J38:W38"/>
    <mergeCell ref="Y38:AO38"/>
    <mergeCell ref="AQ38:AX38"/>
    <mergeCell ref="Y40:AO40"/>
    <mergeCell ref="AQ40:AX40"/>
    <mergeCell ref="C41:H41"/>
    <mergeCell ref="J41:W41"/>
    <mergeCell ref="Y41:AO41"/>
    <mergeCell ref="AQ41:AX41"/>
    <mergeCell ref="C40:H40"/>
    <mergeCell ref="J40:W40"/>
    <mergeCell ref="C39:H39"/>
    <mergeCell ref="J39:W39"/>
    <mergeCell ref="Y39:AO39"/>
    <mergeCell ref="AQ39:AX39"/>
    <mergeCell ref="Y36:AO36"/>
    <mergeCell ref="AQ36:AX36"/>
    <mergeCell ref="C37:H37"/>
    <mergeCell ref="J37:W37"/>
    <mergeCell ref="Y37:AO37"/>
    <mergeCell ref="AQ37:AX37"/>
    <mergeCell ref="C34:H34"/>
    <mergeCell ref="J34:W34"/>
    <mergeCell ref="Y34:AO34"/>
    <mergeCell ref="AQ34:AX34"/>
    <mergeCell ref="C35:H35"/>
    <mergeCell ref="J35:W35"/>
    <mergeCell ref="Y35:AO35"/>
    <mergeCell ref="AQ35:AX35"/>
    <mergeCell ref="C36:H36"/>
    <mergeCell ref="J36:W36"/>
    <mergeCell ref="Y32:AO32"/>
    <mergeCell ref="AQ32:AX32"/>
    <mergeCell ref="C33:H33"/>
    <mergeCell ref="J33:W33"/>
    <mergeCell ref="Y33:AO33"/>
    <mergeCell ref="AQ33:AX33"/>
    <mergeCell ref="C28:H28"/>
    <mergeCell ref="J28:W28"/>
    <mergeCell ref="Y28:AO28"/>
    <mergeCell ref="AQ28:AX28"/>
    <mergeCell ref="C31:H31"/>
    <mergeCell ref="J31:W31"/>
    <mergeCell ref="Y31:AO31"/>
    <mergeCell ref="AQ31:AX31"/>
    <mergeCell ref="C32:H32"/>
    <mergeCell ref="J32:W32"/>
    <mergeCell ref="Y26:AO26"/>
    <mergeCell ref="AQ26:AX26"/>
    <mergeCell ref="C27:H27"/>
    <mergeCell ref="J27:W27"/>
    <mergeCell ref="Y27:AO27"/>
    <mergeCell ref="AQ27:AX27"/>
    <mergeCell ref="C24:H24"/>
    <mergeCell ref="J24:W24"/>
    <mergeCell ref="Y24:AO24"/>
    <mergeCell ref="AQ24:AX24"/>
    <mergeCell ref="C25:H25"/>
    <mergeCell ref="J25:W25"/>
    <mergeCell ref="Y25:AO25"/>
    <mergeCell ref="AQ25:AX25"/>
    <mergeCell ref="C26:H26"/>
    <mergeCell ref="J26:W26"/>
    <mergeCell ref="Y22:AO22"/>
    <mergeCell ref="AQ22:AX22"/>
    <mergeCell ref="C23:H23"/>
    <mergeCell ref="J23:W23"/>
    <mergeCell ref="Y23:AO23"/>
    <mergeCell ref="AQ23:AX23"/>
    <mergeCell ref="C20:H20"/>
    <mergeCell ref="J20:W20"/>
    <mergeCell ref="Y20:AO20"/>
    <mergeCell ref="AQ20:AX20"/>
    <mergeCell ref="C21:H21"/>
    <mergeCell ref="J21:W21"/>
    <mergeCell ref="Y21:AO21"/>
    <mergeCell ref="AQ21:AX21"/>
    <mergeCell ref="C22:H22"/>
    <mergeCell ref="J22:W22"/>
    <mergeCell ref="Y18:AO18"/>
    <mergeCell ref="AQ18:AX18"/>
    <mergeCell ref="C19:H19"/>
    <mergeCell ref="J19:W19"/>
    <mergeCell ref="Y19:AO19"/>
    <mergeCell ref="AQ19:AX19"/>
    <mergeCell ref="C14:H14"/>
    <mergeCell ref="J14:W14"/>
    <mergeCell ref="Y14:AO14"/>
    <mergeCell ref="AQ14:AX14"/>
    <mergeCell ref="C15:H15"/>
    <mergeCell ref="J15:W15"/>
    <mergeCell ref="Y15:AO15"/>
    <mergeCell ref="AQ15:AX15"/>
    <mergeCell ref="C18:H18"/>
    <mergeCell ref="J18:W18"/>
    <mergeCell ref="Y12:AO12"/>
    <mergeCell ref="AQ12:AX12"/>
    <mergeCell ref="C13:H13"/>
    <mergeCell ref="J13:W13"/>
    <mergeCell ref="Y13:AO13"/>
    <mergeCell ref="AQ13:AX13"/>
    <mergeCell ref="C11:H11"/>
    <mergeCell ref="J11:W11"/>
    <mergeCell ref="Y11:AO11"/>
    <mergeCell ref="AQ11:AX11"/>
    <mergeCell ref="C12:H12"/>
    <mergeCell ref="J12:W12"/>
    <mergeCell ref="Y6:AO6"/>
    <mergeCell ref="AQ6:AX6"/>
    <mergeCell ref="C10:H10"/>
    <mergeCell ref="J10:W10"/>
    <mergeCell ref="Y10:AO10"/>
    <mergeCell ref="AQ10:AX10"/>
    <mergeCell ref="C5:H5"/>
    <mergeCell ref="J5:W5"/>
    <mergeCell ref="Y5:AO5"/>
    <mergeCell ref="AQ5:AX5"/>
    <mergeCell ref="C6:H6"/>
    <mergeCell ref="J6:W6"/>
    <mergeCell ref="Y8:AO8"/>
    <mergeCell ref="AQ8:AX8"/>
    <mergeCell ref="C9:H9"/>
    <mergeCell ref="J9:W9"/>
    <mergeCell ref="Y9:AO9"/>
    <mergeCell ref="AQ9:AX9"/>
    <mergeCell ref="C7:H7"/>
    <mergeCell ref="J7:W7"/>
    <mergeCell ref="Y7:AO7"/>
    <mergeCell ref="AQ7:AX7"/>
    <mergeCell ref="C8:H8"/>
    <mergeCell ref="J8:W8"/>
  </mergeCells>
  <phoneticPr fontId="26" type="noConversion"/>
  <pageMargins left="0.39370078740157483" right="0.39370078740157483" top="0.39370078740157483" bottom="0.39370078740157483" header="0.31496062992125984" footer="0.31496062992125984"/>
  <pageSetup scale="82" fitToHeight="0" orientation="landscape"/>
  <ignoredErrors>
    <ignoredError sqref="C33:H41 C32 J32:AX4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F6B30ED754944FB82AC877351B9841" ma:contentTypeVersion="12" ma:contentTypeDescription="Crée un document." ma:contentTypeScope="" ma:versionID="06a33438d68f3bd7af356180fbee8411">
  <xsd:schema xmlns:xsd="http://www.w3.org/2001/XMLSchema" xmlns:xs="http://www.w3.org/2001/XMLSchema" xmlns:p="http://schemas.microsoft.com/office/2006/metadata/properties" xmlns:ns2="5b2ec213-35a5-44a6-a658-c7d913065e89" xmlns:ns3="255ccc48-c725-4253-acb8-dda3420f718c" targetNamespace="http://schemas.microsoft.com/office/2006/metadata/properties" ma:root="true" ma:fieldsID="db8b939054b6cb30f3a49b9f88dcac0e" ns2:_="" ns3:_="">
    <xsd:import namespace="5b2ec213-35a5-44a6-a658-c7d913065e89"/>
    <xsd:import namespace="255ccc48-c725-4253-acb8-dda3420f718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ec213-35a5-44a6-a658-c7d913065e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f3d37a64-7a81-453b-8f05-aac9d02acde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5ccc48-c725-4253-acb8-dda3420f718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41839d1-f072-41d9-be38-5d4afdd5bdbb}" ma:internalName="TaxCatchAll" ma:showField="CatchAllData" ma:web="255ccc48-c725-4253-acb8-dda3420f718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b2ec213-35a5-44a6-a658-c7d913065e89">
      <Terms xmlns="http://schemas.microsoft.com/office/infopath/2007/PartnerControls"/>
    </lcf76f155ced4ddcb4097134ff3c332f>
    <TaxCatchAll xmlns="255ccc48-c725-4253-acb8-dda3420f718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82A32-5BE6-4F48-8C12-DD0990F43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ec213-35a5-44a6-a658-c7d913065e89"/>
    <ds:schemaRef ds:uri="255ccc48-c725-4253-acb8-dda3420f7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6932D8-D9B2-4128-85ED-025A98E502DE}">
  <ds:schemaRefs>
    <ds:schemaRef ds:uri="5b2ec213-35a5-44a6-a658-c7d913065e89"/>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http://purl.org/dc/dcmitype/"/>
    <ds:schemaRef ds:uri="255ccc48-c725-4253-acb8-dda3420f718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B0B88E8-F06D-445F-A80A-CB6456539B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126</vt:i4>
      </vt:variant>
    </vt:vector>
  </HeadingPairs>
  <TitlesOfParts>
    <vt:vector size="139" baseType="lpstr">
      <vt:lpstr>Données générales</vt:lpstr>
      <vt:lpstr>Données - Résidentiel</vt:lpstr>
      <vt:lpstr>Résultats - Résidentiel</vt:lpstr>
      <vt:lpstr>Données - ICI</vt:lpstr>
      <vt:lpstr>Résultats - ICI</vt:lpstr>
      <vt:lpstr>Données - CRD</vt:lpstr>
      <vt:lpstr>Résultats CRD</vt:lpstr>
      <vt:lpstr>Résultats globaux</vt:lpstr>
      <vt:lpstr>Sources</vt:lpstr>
      <vt:lpstr>Paramètres</vt:lpstr>
      <vt:lpstr>Programmation</vt:lpstr>
      <vt:lpstr>Feuil1</vt:lpstr>
      <vt:lpstr>Feuil2</vt:lpstr>
      <vt:lpstr>Paramètres!_Toc227046729</vt:lpstr>
      <vt:lpstr>Paramètres!_Toc227046736</vt:lpstr>
      <vt:lpstr>annees</vt:lpstr>
      <vt:lpstr>crd_parasites</vt:lpstr>
      <vt:lpstr>crd_permis</vt:lpstr>
      <vt:lpstr>crd_tonne_E_agregats</vt:lpstr>
      <vt:lpstr>crd_tonne_E_NA_autres</vt:lpstr>
      <vt:lpstr>crd_tonne_E_NA_bardeau</vt:lpstr>
      <vt:lpstr>crd_tonne_E_NA_bois</vt:lpstr>
      <vt:lpstr>crd_tonne_E_NA_gypse</vt:lpstr>
      <vt:lpstr>crd_tonne_E_rejets</vt:lpstr>
      <vt:lpstr>crd_tonne_E_usagesLET</vt:lpstr>
      <vt:lpstr>crd_tonne_E_usagesLET_A</vt:lpstr>
      <vt:lpstr>crd_tonne_E_usagesLET_Autres</vt:lpstr>
      <vt:lpstr>crd_tonne_E_usagesLET_B</vt:lpstr>
      <vt:lpstr>crd_tonne_E_usagesLET_Bois</vt:lpstr>
      <vt:lpstr>crd_tonne_E_usagesLET_G</vt:lpstr>
      <vt:lpstr>crd_tonne_E_usagesLET_NA</vt:lpstr>
      <vt:lpstr>crd_tonne_E_usagesLET_rejets</vt:lpstr>
      <vt:lpstr>crd_tonne_R_agregats</vt:lpstr>
      <vt:lpstr>crd_tonne_R_NA_autres</vt:lpstr>
      <vt:lpstr>crd_tonne_R_NA_bardeau</vt:lpstr>
      <vt:lpstr>crd_tonne_R_NA_bois</vt:lpstr>
      <vt:lpstr>crd_tonne_R_NA_gypse</vt:lpstr>
      <vt:lpstr>crd_tonne_R_rejets</vt:lpstr>
      <vt:lpstr>crd_utiliser_donnees</vt:lpstr>
      <vt:lpstr>deroulant_activation_G</vt:lpstr>
      <vt:lpstr>deroulant_activation_I</vt:lpstr>
      <vt:lpstr>deroulant_collecte_MO</vt:lpstr>
      <vt:lpstr>deroulant_destination_boues</vt:lpstr>
      <vt:lpstr>deroulant_jnsp</vt:lpstr>
      <vt:lpstr>deroulant_oui_non</vt:lpstr>
      <vt:lpstr>deroulant_outil_utilisateur</vt:lpstr>
      <vt:lpstr>donnees_calculs</vt:lpstr>
      <vt:lpstr>donnees_infos</vt:lpstr>
      <vt:lpstr>erreur_a_la</vt:lpstr>
      <vt:lpstr>erreur_aux</vt:lpstr>
      <vt:lpstr>erreur1</vt:lpstr>
      <vt:lpstr>erreur2</vt:lpstr>
      <vt:lpstr>gen_annee</vt:lpstr>
      <vt:lpstr>gen_competente</vt:lpstr>
      <vt:lpstr>gen_MRC</vt:lpstr>
      <vt:lpstr>gen_pop_MRC</vt:lpstr>
      <vt:lpstr>gen_pop_RA</vt:lpstr>
      <vt:lpstr>gen_RA</vt:lpstr>
      <vt:lpstr>gen_ressource</vt:lpstr>
      <vt:lpstr>'Données - ICI'!ici_donnees_agroalimentaire</vt:lpstr>
      <vt:lpstr>ici_donnees_agroalimentaire</vt:lpstr>
      <vt:lpstr>'Données - ICI'!ici_donnees_autres</vt:lpstr>
      <vt:lpstr>ici_donnees_autres</vt:lpstr>
      <vt:lpstr>ICI_emp_MRC</vt:lpstr>
      <vt:lpstr>ICI_emp_MRC_choix</vt:lpstr>
      <vt:lpstr>'Données - ICI'!ICI_emp_RA</vt:lpstr>
      <vt:lpstr>ICI_emp_RA</vt:lpstr>
      <vt:lpstr>'Données - ICI'!ici_facteur_emp_MRC</vt:lpstr>
      <vt:lpstr>ici_facteur_emp_MRC</vt:lpstr>
      <vt:lpstr>'Données - ICI'!ici_utiliser_donnees</vt:lpstr>
      <vt:lpstr>ici_utiliser_donnees</vt:lpstr>
      <vt:lpstr>'Données - ICI'!ici_utiliser_rejets</vt:lpstr>
      <vt:lpstr>ici_utiliser_rejets</vt:lpstr>
      <vt:lpstr>'Résultats - ICI'!Impression_des_titres</vt:lpstr>
      <vt:lpstr>'Résultats - Résidentiel'!Impression_des_titres</vt:lpstr>
      <vt:lpstr>ligne</vt:lpstr>
      <vt:lpstr>menu_outil</vt:lpstr>
      <vt:lpstr>menu_utilisateur</vt:lpstr>
      <vt:lpstr>N.A.</vt:lpstr>
      <vt:lpstr>N.D.</vt:lpstr>
      <vt:lpstr>outil</vt:lpstr>
      <vt:lpstr>puce1</vt:lpstr>
      <vt:lpstr>puce2</vt:lpstr>
      <vt:lpstr>question_outil_utilisateur</vt:lpstr>
      <vt:lpstr>RA_1</vt:lpstr>
      <vt:lpstr>RA_10</vt:lpstr>
      <vt:lpstr>RA_11</vt:lpstr>
      <vt:lpstr>RA_12</vt:lpstr>
      <vt:lpstr>RA_13</vt:lpstr>
      <vt:lpstr>RA_14</vt:lpstr>
      <vt:lpstr>RA_15</vt:lpstr>
      <vt:lpstr>RA_16</vt:lpstr>
      <vt:lpstr>RA_17</vt:lpstr>
      <vt:lpstr>RA_2</vt:lpstr>
      <vt:lpstr>RA_3</vt:lpstr>
      <vt:lpstr>RA_4</vt:lpstr>
      <vt:lpstr>RA_5</vt:lpstr>
      <vt:lpstr>RA_6</vt:lpstr>
      <vt:lpstr>RA_7</vt:lpstr>
      <vt:lpstr>RA_8</vt:lpstr>
      <vt:lpstr>RA_9</vt:lpstr>
      <vt:lpstr>Region_administrative</vt:lpstr>
      <vt:lpstr>res_pers_multi</vt:lpstr>
      <vt:lpstr>res_pers_plex</vt:lpstr>
      <vt:lpstr>res_pers_uni</vt:lpstr>
      <vt:lpstr>res_pers_uni_r</vt:lpstr>
      <vt:lpstr>res_pers_uni_u</vt:lpstr>
      <vt:lpstr>res_UO_multi</vt:lpstr>
      <vt:lpstr>res_UO_plex</vt:lpstr>
      <vt:lpstr>res_UO_uni</vt:lpstr>
      <vt:lpstr>res_UO_uni_r</vt:lpstr>
      <vt:lpstr>res_utiliser_autres</vt:lpstr>
      <vt:lpstr>res_utiliser_boues</vt:lpstr>
      <vt:lpstr>res_utiliser_recyclables</vt:lpstr>
      <vt:lpstr>res_utiliser_rejets</vt:lpstr>
      <vt:lpstr>res_utiliser_textile</vt:lpstr>
      <vt:lpstr>res_utiliser_VHU</vt:lpstr>
      <vt:lpstr>retour</vt:lpstr>
      <vt:lpstr>texte_marge</vt:lpstr>
      <vt:lpstr>titre_marge</vt:lpstr>
      <vt:lpstr>txt_aide</vt:lpstr>
      <vt:lpstr>txt_N.A.</vt:lpstr>
      <vt:lpstr>txt_N.D.</vt:lpstr>
      <vt:lpstr>txt_outil</vt:lpstr>
      <vt:lpstr>txt_pour_info</vt:lpstr>
      <vt:lpstr>txt_utilisateur</vt:lpstr>
      <vt:lpstr>txt_validation</vt:lpstr>
      <vt:lpstr>utilisateur</vt:lpstr>
      <vt:lpstr>ventil1</vt:lpstr>
      <vt:lpstr>ventil2</vt:lpstr>
      <vt:lpstr>'Données - CRD'!Zone_d_impression</vt:lpstr>
      <vt:lpstr>'Données - ICI'!Zone_d_impression</vt:lpstr>
      <vt:lpstr>'Données - Résidentiel'!Zone_d_impression</vt:lpstr>
      <vt:lpstr>'Données générales'!Zone_d_impression</vt:lpstr>
      <vt:lpstr>'Résultats - ICI'!Zone_d_impression</vt:lpstr>
      <vt:lpstr>'Résultats - Résidentiel'!Zone_d_impression</vt:lpstr>
      <vt:lpstr>'Résultats CRD'!Zone_d_impression</vt:lpstr>
      <vt:lpstr>'Résultats globaux'!Zone_d_impression</vt:lpstr>
      <vt:lpstr>Sources!Zone_d_impression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Chamard et Associés</dc:creator>
  <cp:lastModifiedBy>Emilie Girard</cp:lastModifiedBy>
  <cp:lastPrinted>2014-07-07T13:30:41Z</cp:lastPrinted>
  <dcterms:created xsi:type="dcterms:W3CDTF">2013-06-17T19:03:14Z</dcterms:created>
  <dcterms:modified xsi:type="dcterms:W3CDTF">2023-01-26T16:22:36Z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0x010100C6F6B30ED754944FB82AC877351B9841</vt:lpwstr>
  </property>
  <property fmtid="{D5CDD505-2E9C-101B-9397-08002B2CF9AE}" pid="3" name="Order">
    <vt:r8>1891800</vt:r8>
  </property>
  <property fmtid="{D5CDD505-2E9C-101B-9397-08002B2CF9AE}" pid="4" name="MediaServiceImageTags">
    <vt:lpwstr/>
  </property>
</Properties>
</file>